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6380" windowHeight="8190" tabRatio="987" activeTab="0"/>
  </bookViews>
  <sheets>
    <sheet name="1216030" sheetId="1" r:id="rId1"/>
    <sheet name="1217442 спец" sheetId="2" r:id="rId2"/>
    <sheet name="1217670" sheetId="3" r:id="rId3"/>
    <sheet name="1216017" sheetId="4" r:id="rId4"/>
    <sheet name="1216017 ( заг)" sheetId="5" r:id="rId5"/>
    <sheet name="1216013" sheetId="6" r:id="rId6"/>
    <sheet name="1217640" sheetId="7" r:id="rId7"/>
    <sheet name="1218340" sheetId="8" r:id="rId8"/>
    <sheet name="1217442 заг" sheetId="9" r:id="rId9"/>
    <sheet name="1217691" sheetId="10" r:id="rId10"/>
    <sheet name="1216030 спец." sheetId="11" r:id="rId11"/>
    <sheet name="1217363" sheetId="12" r:id="rId12"/>
    <sheet name="1217462" sheetId="13" r:id="rId13"/>
    <sheet name="7361" sheetId="14" r:id="rId14"/>
    <sheet name="7463" sheetId="15" r:id="rId15"/>
    <sheet name="8320" sheetId="16" r:id="rId16"/>
    <sheet name="2761070" sheetId="17" r:id="rId17"/>
    <sheet name="2761070 (2)" sheetId="18" r:id="rId18"/>
  </sheets>
  <definedNames>
    <definedName name="Excel_BuiltIn_Print_Area" localSheetId="8">'1217442 заг'!#REF!</definedName>
    <definedName name="Excel_BuiltIn_Print_Area" localSheetId="1">'1217442 спец'!#REF!</definedName>
    <definedName name="_xlnm.Print_Area" localSheetId="5">'1216013'!$A$1:$D$5</definedName>
    <definedName name="_xlnm.Print_Area" localSheetId="3">'1216017'!$A$2:$B$4</definedName>
    <definedName name="_xlnm.Print_Area" localSheetId="0">'1216030'!$A$2:$C$53</definedName>
    <definedName name="_xlnm.Print_Area" localSheetId="8">'1217442 заг'!$A$1:$N$282</definedName>
    <definedName name="_xlnm.Print_Area" localSheetId="1">'1217442 спец'!$A$1:$E$98</definedName>
    <definedName name="_xlnm.Print_Area" localSheetId="6">'1217640'!$A$3:$E$3</definedName>
    <definedName name="_xlnm.Print_Area" localSheetId="9">'1217691'!$A$2:$D$2</definedName>
    <definedName name="_xlnm.Print_Area" localSheetId="7">'1218340'!$A$2:$D$2</definedName>
  </definedNames>
  <calcPr fullCalcOnLoad="1"/>
</workbook>
</file>

<file path=xl/sharedStrings.xml><?xml version="1.0" encoding="utf-8"?>
<sst xmlns="http://schemas.openxmlformats.org/spreadsheetml/2006/main" count="1630" uniqueCount="486">
  <si>
    <t>Код згідно з КЕКВ (для бюджетних коштів)</t>
  </si>
  <si>
    <t>касові видатки</t>
  </si>
  <si>
    <t xml:space="preserve">Види робіт відповідно до Програми економічного розвитку та соціального розвитку міста </t>
  </si>
  <si>
    <t>Виконавці робіт відповідно до укладених договорів</t>
  </si>
  <si>
    <t xml:space="preserve">обсяги виконаних робіт </t>
  </si>
  <si>
    <t>Загальний фонд</t>
  </si>
  <si>
    <t>Програма благоустрою міста Ужгород на 2018-2020 роки</t>
  </si>
  <si>
    <t>Нанесення горизонтальної розмітки</t>
  </si>
  <si>
    <t>Поточний ремонт світлофорних об’єктів</t>
  </si>
  <si>
    <t>Поточний ремонт (заміна дорожніх знаків)</t>
  </si>
  <si>
    <t>Поточний ремонт міських шляхів</t>
  </si>
  <si>
    <t>Реконструкція міських шляхів</t>
  </si>
  <si>
    <t>Реконструкція вул. Можайського (8 Березня - Минайська)</t>
  </si>
  <si>
    <t>Капітальний ремонт міських шляхів</t>
  </si>
  <si>
    <t>Капітальний ремонт  тротуарів</t>
  </si>
  <si>
    <t>Спеціальний фонд</t>
  </si>
  <si>
    <t>ВСЬОГО</t>
  </si>
  <si>
    <t>вул. Стефаника</t>
  </si>
  <si>
    <t>капітальний ремонт покриття пл. Ш. Петефі</t>
  </si>
  <si>
    <t>вул. Шумна</t>
  </si>
  <si>
    <t>капітальний ремонт пішохідної зони пл. Ш. Петефі</t>
  </si>
  <si>
    <t>Програма реконструкції та капітального ремонту мережі зовнішнього освітлення міста Ужгород на 2017-2020 роки</t>
  </si>
  <si>
    <t>Програма капітального ремонту житлового фонду у м. Ужгород на 2018-2022 роки</t>
  </si>
  <si>
    <t>Капітальний ремонт водопроводу, каналізації</t>
  </si>
  <si>
    <t>Програма охорони навколишнього природнього середовища міста Ужгород на 2018-2022 роки</t>
  </si>
  <si>
    <t>Забезпечення екологічно безпечного збирання ТПВ (суцільна дератизація майданчиків збору ТПВ)</t>
  </si>
  <si>
    <t>Забезпечення утримання в належному стані зелених насаджень в межах об'єктів природно-заповідного фонду місцевого значення "парк Боздоський"</t>
  </si>
  <si>
    <t>Забезпечення утримання в належному стані зелених насаджень в межах об'єктів природно-заповідного фонду місцевого значення "парк Підзамковий"</t>
  </si>
  <si>
    <t>Програма відшкодування частини кредитів, отриманих ОСББ, ЖБК на впровадження заходів з енергозбереження, капітального ремонту та реконструкції багатоквартирних будинків у м. Ужгород на 2018-2022 роки ("Теплий дім")</t>
  </si>
  <si>
    <t>відшкодування частини кредитів, отриманих ОСББ, ЖБК на впровадження заходів з енергозбереження, капітального ремонту та реконструкції багатоквартирних будинків</t>
  </si>
  <si>
    <t>Послуги з прочищення зливоприймальної каналізації вулиць міста</t>
  </si>
  <si>
    <t>Поточний ремонт окремих елементів зливової каналізації</t>
  </si>
  <si>
    <t>КП "Водоканал м.Ужгорода"</t>
  </si>
  <si>
    <t>Програма відшкодування відсотків за кредитами, залученими населенням на впровадження енергозберігаючих заходів у м. Ужгород на 2018-2022 роки</t>
  </si>
  <si>
    <t>Відшкодування з бюджету міста частини відсоткової ставки за надані кредити на впровадження населення заходів з енергозбереження</t>
  </si>
  <si>
    <t xml:space="preserve">бюджетні призначення на 2019 рік </t>
  </si>
  <si>
    <t>наб. Незалежності від буд. 2 до буд. 4</t>
  </si>
  <si>
    <t>Види робіт відповідно до Програм</t>
  </si>
  <si>
    <t>вул. Заньковецької,7 (ОСББ "Заньковецької 7")</t>
  </si>
  <si>
    <t xml:space="preserve">Обсяги виконаних робіт </t>
  </si>
  <si>
    <t>Касові видатки</t>
  </si>
  <si>
    <t>ПП" Прибиральник плюс"</t>
  </si>
  <si>
    <t>ТОВ " АВЕ Ужгород"</t>
  </si>
  <si>
    <t>КП " УККП"</t>
  </si>
  <si>
    <t>ТОВ " ЖРЕР  8"</t>
  </si>
  <si>
    <t>ФОП Гавалець Є.О.</t>
  </si>
  <si>
    <t>ТОВ " Хаус Менеджмент Групп"</t>
  </si>
  <si>
    <t>ТОВ " Закарпателектробуд"</t>
  </si>
  <si>
    <t>ПП " Ужбудсервіс"</t>
  </si>
  <si>
    <t>ТОВ " Упраління житлом"</t>
  </si>
  <si>
    <t>ТОВ " Ужагромікс"</t>
  </si>
  <si>
    <t>КП " КШЕП"</t>
  </si>
  <si>
    <t xml:space="preserve">КП " КШЕП" </t>
  </si>
  <si>
    <t>Блага Мар'яна  61 41 14</t>
  </si>
  <si>
    <t xml:space="preserve">АТ КБ "Приватбанк" </t>
  </si>
  <si>
    <t>ОСББ "Марка Вовчка, 12"</t>
  </si>
  <si>
    <t>ОСББ "Ліберті"</t>
  </si>
  <si>
    <t>ОСББ "Заньковецької 4"</t>
  </si>
  <si>
    <t>Разом:</t>
  </si>
  <si>
    <t>Разом</t>
  </si>
  <si>
    <t>технагляд</t>
  </si>
  <si>
    <t>ДП "Укрдержбудеспертиза"</t>
  </si>
  <si>
    <t>ТОВ " КБК"</t>
  </si>
  <si>
    <t>ФОП Пивоваров Т.В.</t>
  </si>
  <si>
    <t>Капітальний ремонт скверу Франтішека Крупки по вул. Гойди</t>
  </si>
  <si>
    <t>Капітальний ремонт внутрішньоквартальних територій</t>
  </si>
  <si>
    <t>вул. 8 Березня, 20 - вул. Грушевського, 37А</t>
  </si>
  <si>
    <t xml:space="preserve"> пр. Свободи, 40</t>
  </si>
  <si>
    <t>вул. Грушевського,37</t>
  </si>
  <si>
    <t>вул. Володимирська,65</t>
  </si>
  <si>
    <t>вул. Маресьєва,1,3,5</t>
  </si>
  <si>
    <t>вул. Перемоги,163/2</t>
  </si>
  <si>
    <t>вул. 8 Березня, 20</t>
  </si>
  <si>
    <t>вул. І.Франка,56А</t>
  </si>
  <si>
    <t>вул. Закарпатська,28</t>
  </si>
  <si>
    <t>вул. Керченська,7,7А</t>
  </si>
  <si>
    <t>вул. Міцкевича,3-5</t>
  </si>
  <si>
    <t>Виготовлення проектно-кошторисної документації та проведення експертизи на капітальний ремонт об'єктів благоустрою</t>
  </si>
  <si>
    <t>Виготовлення проектно-кошторисної документації та проведення експертизи на реконструкцію об'єктів благоустрою</t>
  </si>
  <si>
    <t>Капітальний ремонт скверу ім. Штефаніка</t>
  </si>
  <si>
    <t>внутрішньоквартальна територія по вул. Вілмоша Ковача,7-15</t>
  </si>
  <si>
    <t>внутрішньоквартальна територія по вул. Тлехаса,83-85</t>
  </si>
  <si>
    <t>внутрішньоквартальна територія по вул. Міцкевича,5А</t>
  </si>
  <si>
    <t>внутрішньоквартальна територія по вул. Минайська,67</t>
  </si>
  <si>
    <t>вул. Виноградівська</t>
  </si>
  <si>
    <t>Капітальний ремонт святкової ілюмінації</t>
  </si>
  <si>
    <t>Комплексна Програма відновлення історичного центру м. Ужгорода на 2017-2020 роки</t>
  </si>
  <si>
    <t>Реконструкція інженерних мереж по пл. Ш. Петефі</t>
  </si>
  <si>
    <t>Програма будівництва, реконструкції та капітального ремонту дитячих та спортивних майданчиків у м. Ужгороді на 2017-2021 роки</t>
  </si>
  <si>
    <t>вул. Івана Франка,56</t>
  </si>
  <si>
    <t xml:space="preserve"> вул. Перемоги, 149 (громадський бюджет)</t>
  </si>
  <si>
    <t>вул. Гойди,28- пл. Др. Народів,2</t>
  </si>
  <si>
    <t>ФОП Форгачі М.І.</t>
  </si>
  <si>
    <t xml:space="preserve"> "Мотиви"</t>
  </si>
  <si>
    <t>ТОВ " Унгвар -електро"</t>
  </si>
  <si>
    <t>Фотозона " Сніговик"</t>
  </si>
  <si>
    <t>Фотозона " Олень"</t>
  </si>
  <si>
    <t>Мотиви на крузі</t>
  </si>
  <si>
    <t>Мотиви на пл. Б. Хмельницького</t>
  </si>
  <si>
    <t>Штора на дерева</t>
  </si>
  <si>
    <t>Фотозона " Арка"</t>
  </si>
  <si>
    <t>ТОВ " БК " Антрол"</t>
  </si>
  <si>
    <t xml:space="preserve">технагляд </t>
  </si>
  <si>
    <t>Всього:</t>
  </si>
  <si>
    <t>ФОП Бобрик М.Є.</t>
  </si>
  <si>
    <t>ТОВ " Унг-електро-сервіс"</t>
  </si>
  <si>
    <t>Виготовлення проектно-кошторисної документації та проведення експертизи на капітальний ремонт доріг</t>
  </si>
  <si>
    <t>Виготовлення проектно-кошторисної документації та проведення експертизи на реконструкцію мостів та доріг</t>
  </si>
  <si>
    <t>вул. Бородіна</t>
  </si>
  <si>
    <t>вул. Станційна</t>
  </si>
  <si>
    <t>вул. Львівська</t>
  </si>
  <si>
    <t>вул. Антонівська</t>
  </si>
  <si>
    <t>вул. Стародоманинська</t>
  </si>
  <si>
    <t>ТОВ " БК Антрол"</t>
  </si>
  <si>
    <t>ФОП Феєр Л.С.</t>
  </si>
  <si>
    <t>вул. Мукачівська</t>
  </si>
  <si>
    <t>ПП " Піраміда -2005"</t>
  </si>
  <si>
    <t>вул. Г. Свободи</t>
  </si>
  <si>
    <t xml:space="preserve">Разом: </t>
  </si>
  <si>
    <t>ПП " Євроімекс -Інвест"</t>
  </si>
  <si>
    <t xml:space="preserve">В.Комендаря </t>
  </si>
  <si>
    <t xml:space="preserve">капітальний ремонт наб. Незалежності </t>
  </si>
  <si>
    <t>співфінансування з МБ</t>
  </si>
  <si>
    <t>КП "Ужгородський муніципальний транспорт"</t>
  </si>
  <si>
    <t>КП "Комунальне шляхово-експлуатаційне підприємство"</t>
  </si>
  <si>
    <t>Капітальний ремонт покрівель</t>
  </si>
  <si>
    <t>вул. Собранецька,152</t>
  </si>
  <si>
    <t>вул. Шопена,6</t>
  </si>
  <si>
    <t>Капітальний ремонт електрощитових, мереж електроосвітлення будинків</t>
  </si>
  <si>
    <t>наб. Київська,20</t>
  </si>
  <si>
    <t>ТОВ " Унгвар Електро"</t>
  </si>
  <si>
    <t>ТОВ "Закарпаттяенергозбут"</t>
  </si>
  <si>
    <t>ПП " Балмарт"</t>
  </si>
  <si>
    <t>ПП " Віндов"</t>
  </si>
  <si>
    <t>ПАТ " Закарпаттяобленерго"</t>
  </si>
  <si>
    <t>ТОВ " Глобал Промпостач"</t>
  </si>
  <si>
    <t>ТОВ " Інпроект"</t>
  </si>
  <si>
    <t>ФОП Несух Ю.М.</t>
  </si>
  <si>
    <t>ТОВ " Перша Будівельна експертиза"</t>
  </si>
  <si>
    <t>ПКД</t>
  </si>
  <si>
    <t>ФОП Давиденко О.В.</t>
  </si>
  <si>
    <t>ФОП Сентімрей К.Г.</t>
  </si>
  <si>
    <t>вул. Минайська, 8 ( ОСББ Минайська,8)</t>
  </si>
  <si>
    <t>ТОВ " Аква-Реконструкція"</t>
  </si>
  <si>
    <t>вул. Одеська,12( БК " Одеська,12)</t>
  </si>
  <si>
    <t>ДП " Укрдержбудекспертиза</t>
  </si>
  <si>
    <t>ТОВ " Уніекотех"</t>
  </si>
  <si>
    <t>ФОП Павлюх В.А.</t>
  </si>
  <si>
    <t>В. Ковача</t>
  </si>
  <si>
    <t>вул. Грушевського</t>
  </si>
  <si>
    <t>КП " КШЕП" УМР</t>
  </si>
  <si>
    <t>М. Бабяка</t>
  </si>
  <si>
    <t>вул. Артилерійська</t>
  </si>
  <si>
    <t xml:space="preserve">вул. Стрільнича </t>
  </si>
  <si>
    <t>Уж.ДЕД ДП Закарпатський облавтодор</t>
  </si>
  <si>
    <t>вул. Ю Фучіка</t>
  </si>
  <si>
    <t>вул. Висока</t>
  </si>
  <si>
    <t>КП"  КШЕП  УМР</t>
  </si>
  <si>
    <t>вул. С.Разіна</t>
  </si>
  <si>
    <t>вул. Робоча</t>
  </si>
  <si>
    <t>ПП " Євроімекс - Інвест"</t>
  </si>
  <si>
    <t xml:space="preserve">вул. Сечені </t>
  </si>
  <si>
    <t>пр. Свободи</t>
  </si>
  <si>
    <t>вул. Тлехаса,93,95</t>
  </si>
  <si>
    <t>09310000-5 Електрична енергія  (послуги з компенсації перетікань реактивної електричної енергії)</t>
  </si>
  <si>
    <t>УФ ДУ " ЗОЛ ДСЕСУ"</t>
  </si>
  <si>
    <t>ДП" Укрдіпродор"</t>
  </si>
  <si>
    <t>ТОВ " Експерт проект груп"</t>
  </si>
  <si>
    <t>ТОВ " Буд. Консалтинг та експертиза"</t>
  </si>
  <si>
    <t>вул. Доманинська</t>
  </si>
  <si>
    <t>ТОВ " МІШЕМ"</t>
  </si>
  <si>
    <t>вул. Митна</t>
  </si>
  <si>
    <t>вул. Другетів</t>
  </si>
  <si>
    <t>вул. Небесної Сотні</t>
  </si>
  <si>
    <t>ФОП  Брийовський В.П.</t>
  </si>
  <si>
    <t>вул. Достоєвського</t>
  </si>
  <si>
    <t>вул. Міцкевича</t>
  </si>
  <si>
    <t>О.Кошового</t>
  </si>
  <si>
    <t>вул. Будителів</t>
  </si>
  <si>
    <t>вул. Грибоєдова</t>
  </si>
  <si>
    <t>пл. Кирила і Мефодія</t>
  </si>
  <si>
    <t>вул. Українська</t>
  </si>
  <si>
    <t>вул. Ужанська</t>
  </si>
  <si>
    <t>ПП Кий О.В.</t>
  </si>
  <si>
    <t>ПП Феєр Л.С.</t>
  </si>
  <si>
    <t>ПП Юрченко Ю.М.</t>
  </si>
  <si>
    <t>КП " Водоканал м. Ужгорода"</t>
  </si>
  <si>
    <t>КП "УККП" УМР</t>
  </si>
  <si>
    <t>ТОВ " Управління житлом"</t>
  </si>
  <si>
    <t>" Аварійно рятувальний загін"</t>
  </si>
  <si>
    <t xml:space="preserve">вул. Собранецька (від вул. Митної до міжнародного пункту пропуску Ужгород") Субвенція державного бюджету </t>
  </si>
  <si>
    <t>РАЗОМ:</t>
  </si>
  <si>
    <t xml:space="preserve">Утримання в належному стані обєктів природно - заповідного фонду парку Боздоський </t>
  </si>
  <si>
    <t>ФОП Кочан І.І.</t>
  </si>
  <si>
    <t>ПП "Євроімекс - Інвест"</t>
  </si>
  <si>
    <t>ФОП Кроть Р.С.</t>
  </si>
  <si>
    <t>ПП " Центр Екпертиз Проектів"</t>
  </si>
  <si>
    <t>ТОВ " Центр Експертиз Проектів"</t>
  </si>
  <si>
    <t>" Перетяжка"</t>
  </si>
  <si>
    <t>"Мотиви на опору " пр.Свободи (від Перемоги до вул.Заньковецької)</t>
  </si>
  <si>
    <t>Мотиви " Л. Толстого"</t>
  </si>
  <si>
    <t>" Мотиви " по вул. Митній</t>
  </si>
  <si>
    <t>ТОВ " Унгвар-електро"</t>
  </si>
  <si>
    <t xml:space="preserve">Капітальний ремонт зелених насаджень </t>
  </si>
  <si>
    <t>ТОВ " Зеленгосп Ужгород"</t>
  </si>
  <si>
    <t>ДП " Укрдержбудекспертиза"</t>
  </si>
  <si>
    <t>вул. Можайського,9А (ОСББ Оберіг-Ужгород")</t>
  </si>
  <si>
    <t>ПП Пазяк І.І.</t>
  </si>
  <si>
    <t>п.Др. Народів</t>
  </si>
  <si>
    <t>І. Анкудінова</t>
  </si>
  <si>
    <t>О.Блистіва</t>
  </si>
  <si>
    <t>пл. Б. Хмельницького</t>
  </si>
  <si>
    <t>ПП " Євроімес - Інвест"</t>
  </si>
  <si>
    <t>8-Березня</t>
  </si>
  <si>
    <t>вул. Декабристів</t>
  </si>
  <si>
    <t>Словянська набережна</t>
  </si>
  <si>
    <t>вул. Митрака</t>
  </si>
  <si>
    <t>вул. Докучаєва</t>
  </si>
  <si>
    <t>Л.Толстого</t>
  </si>
  <si>
    <t>перехрестя Минайська -Можайського</t>
  </si>
  <si>
    <t>ТОВ " Енергоком -Сервіс"</t>
  </si>
  <si>
    <t>вул. Гагаріна</t>
  </si>
  <si>
    <t>264155,01</t>
  </si>
  <si>
    <t>вул. Оноківська,2 ( ОСББ " Дорожник Шахта)</t>
  </si>
  <si>
    <t>вул. Андрія Палая,1б( ОСББ Радваночка)</t>
  </si>
  <si>
    <t>вул. Тіхого,17 ( ОСББ Тихого,17)</t>
  </si>
  <si>
    <t>вул. Достоєвського,20 ( ОСББ Достоєвського,20)</t>
  </si>
  <si>
    <t>вул.М. Заньковецької,7 ( ОСББ " Заньковецької,7)</t>
  </si>
  <si>
    <t>вул. Насипна,10 ( ОСББ " Насипна,10)</t>
  </si>
  <si>
    <t>пр. Свободи,45 (ОСББ Проспект-45)</t>
  </si>
  <si>
    <t>вул. Декабристів, 35/12 (ОСББ " Малосімейка,1)</t>
  </si>
  <si>
    <t>вул. Срібляста,6 (ОСББ Срібляста,6)</t>
  </si>
  <si>
    <t>вул. В.Комендаря,78 ( ОСББ В. Комендаря,78)</t>
  </si>
  <si>
    <t>вул. Г. Артемовського,14/41 ( ОСББ Г. Артемовського,14/41)</t>
  </si>
  <si>
    <t>вул. Одеська від переїхрестя з вул. Мукачівська до перехрестя з вул. Ф. Тіхого)</t>
  </si>
  <si>
    <t>Програма Благоустрою міста Ужгород на 2018-2022 роки</t>
  </si>
  <si>
    <t xml:space="preserve">Програма Благоустрою міста Ужгород на 2018-2022 роки </t>
  </si>
  <si>
    <t>Програма благоустрою м. Ужгород на 2018-2022 роки</t>
  </si>
  <si>
    <t>Програма " Благоустрою на 2018-2022 роки"</t>
  </si>
  <si>
    <t>КП " Водоканал м. Ужгород"</t>
  </si>
  <si>
    <t>КП " Парк культури та відпочинку Під Замком"</t>
  </si>
  <si>
    <t>ТОВ " Мішем"</t>
  </si>
  <si>
    <t>ДП " Укрдіпродор"</t>
  </si>
  <si>
    <t>ФОП Вайда П.П.</t>
  </si>
  <si>
    <t>вул. 8 Березня,26</t>
  </si>
  <si>
    <t xml:space="preserve">вул. Чорновола </t>
  </si>
  <si>
    <t>вул. Минайська</t>
  </si>
  <si>
    <t>вул. Університетська</t>
  </si>
  <si>
    <t>вул. Легоцького</t>
  </si>
  <si>
    <t>вул. Руська</t>
  </si>
  <si>
    <t>ПП " Прибиральник Плюс"</t>
  </si>
  <si>
    <t>ТОВ " Наш Добробут"</t>
  </si>
  <si>
    <t>ТОВ " ЖРЕР №8"</t>
  </si>
  <si>
    <t>ТОВ Гавалець Є.О.</t>
  </si>
  <si>
    <t>ТОВ " Уж -Преміум - Сервіс"</t>
  </si>
  <si>
    <t>ТОВ " Уж-Преміум -Сервіс"</t>
  </si>
  <si>
    <t>ТОВ " Аве -Ужгород"</t>
  </si>
  <si>
    <t>вул. Капушанська (від перехрестя пр. Свободи до перехрестя вул. Легоцького)</t>
  </si>
  <si>
    <t>вул. Минайська,3 ( ОСББ "Каштан -Минайська,3)</t>
  </si>
  <si>
    <t>вул. Заньковецької, 13 ( ОСББ Заньковецька,13)</t>
  </si>
  <si>
    <t>вул. Коритнянська,8, блок Б</t>
  </si>
  <si>
    <t>вул. Легоцького,50 ( ЖБК " Сонячний)</t>
  </si>
  <si>
    <t>вул. Канальна,27 ( ОСББ Канальна,27)</t>
  </si>
  <si>
    <t>вул. Годинки, 8 ( ОСББ Єдність Годинки,8)</t>
  </si>
  <si>
    <t>Капітальний ремонт мощення багатоквартирних будинків по вул. Ф. Шопена,15</t>
  </si>
  <si>
    <t xml:space="preserve">КП " КАТП-072801" </t>
  </si>
  <si>
    <t>співфінансування з міського бюджету до коштів ДФРР</t>
  </si>
  <si>
    <t>ТОВ " Техно -Буд-Центр"</t>
  </si>
  <si>
    <t>ТОВ "Центр Експертиз Проектів"</t>
  </si>
  <si>
    <t xml:space="preserve">вул. Загорська </t>
  </si>
  <si>
    <t>вул. І.Франка</t>
  </si>
  <si>
    <t>вул. Пестеля</t>
  </si>
  <si>
    <t>вул.Щедріна</t>
  </si>
  <si>
    <t>ТОВ " ВКП Мерістема"</t>
  </si>
  <si>
    <t>Програма благоустрою міста Ужгород на 2018-2022 роки.</t>
  </si>
  <si>
    <t>ПП Кочан І.І.</t>
  </si>
  <si>
    <t>Забезпечення утримання в належному стані обєктів природно-заповідного фонду місцевого значення "парк Боздоський" (поточний ремонт пішохідних доріжок у парку "Боздоський")</t>
  </si>
  <si>
    <t>ФОП  Гавалець Є.О.</t>
  </si>
  <si>
    <t>пров. Приютський ,10 ( ОСББ Приютський,10)</t>
  </si>
  <si>
    <t>Забезпечення виготовлення проекту встановлення та виносу меж в натурі обєкту ПЗФ "Партерний сквер"</t>
  </si>
  <si>
    <t>Забезпечення виготовлення проекту встановлення та виносу меж в натурі обєкту ПЗФ "парк Підзамковий"</t>
  </si>
  <si>
    <t>Забезпечення виготовлення проекту встановлення та виносу меж в натурі обєкту ПЗФ "Липова Алея"</t>
  </si>
  <si>
    <t>Забезпечення щодо відновлення і підтримання сприятливого гідрологічного режиму, очищення водовідвідного каналу в межах обєктів природно-заповідного фонду місцевого значення "парк Боздоський"</t>
  </si>
  <si>
    <t xml:space="preserve"> вул. Заньковецька (від буд. № 29 до буд. № 27) </t>
  </si>
  <si>
    <t>вул. Стрільнична</t>
  </si>
  <si>
    <t>перехрестя вулю Т.Легоцького-вул. М.Баб'яка</t>
  </si>
  <si>
    <t xml:space="preserve">Капітальний ремонт зупинок громадського транспорту </t>
  </si>
  <si>
    <t>Капітальний ремонт мощення багатоквартирних будинків, що обслуговуються управителями</t>
  </si>
  <si>
    <t>Забезпечення погашення податкової заборгованості КП «КАТП -072801» Ужгородської міської ради</t>
  </si>
  <si>
    <t>КП "Ужгородліфт"</t>
  </si>
  <si>
    <t>КП " АППБ"</t>
  </si>
  <si>
    <t>вул. Сільвая</t>
  </si>
  <si>
    <t>вул. Кошицька</t>
  </si>
  <si>
    <t>вул. П.Багратіона</t>
  </si>
  <si>
    <t>вул. Новака</t>
  </si>
  <si>
    <t>П. Тичини</t>
  </si>
  <si>
    <t>ТОВ " МШЕМ"</t>
  </si>
  <si>
    <t>ТОВ " Дорактів Проект"</t>
  </si>
  <si>
    <t>КП " КАТП-072801"</t>
  </si>
  <si>
    <t>Програма розвитку житлового фонду соціального призначення та житлових обʼєктів, які використовуються
для забезпечення діяльності дитячих будинків сімейного типу  місті Ужгород на 2019 – 2022 роки</t>
  </si>
  <si>
    <t>Забезпечення утримання в належному стані  в межах об'єктів природно-заповідного фонду місцевого значення "парк Підзамковий"</t>
  </si>
  <si>
    <t>ТОВ " Дорактів проект"</t>
  </si>
  <si>
    <t>вул. Айвазовського</t>
  </si>
  <si>
    <t>вул. Егана</t>
  </si>
  <si>
    <t>вул. Північна</t>
  </si>
  <si>
    <t>вул. Гвардійська</t>
  </si>
  <si>
    <t>пл. Народна</t>
  </si>
  <si>
    <t>ФОП Лаба І.Б.</t>
  </si>
  <si>
    <t>вул. Грушевського-Челюскінців</t>
  </si>
  <si>
    <t>ТОВ "Дорсервіс Україна"</t>
  </si>
  <si>
    <t>вул. Шухевича</t>
  </si>
  <si>
    <t>пл. Театральна</t>
  </si>
  <si>
    <t>КП "КШЕП" УМР</t>
  </si>
  <si>
    <t>вул. Лисенка</t>
  </si>
  <si>
    <t>вул. Фединця</t>
  </si>
  <si>
    <t>ФОП Бриовський В.П.</t>
  </si>
  <si>
    <t>ТОВ  " Техно буд-Центр"</t>
  </si>
  <si>
    <t>Програма фінансової підтримки комунальних підприємств міста Ужгород на 2018-2022 роки</t>
  </si>
  <si>
    <t>Програма  фінансової підтримки комунальних підприємств міста Ужгорода на 2018-2022 роки</t>
  </si>
  <si>
    <t xml:space="preserve">Програма виготовлення технічної документації на багатоквартирнібудинки, квартири  у м. Ужгород на 2018-2022 роки </t>
  </si>
  <si>
    <t>співфінансування за рахунок коштів Державного фонду регіонального розвитку</t>
  </si>
  <si>
    <t>Програма " Благоустрою міста Ужгород на 2018-2022 роки"</t>
  </si>
  <si>
    <t>спвіфінансування з міського бюджету до коштів ДФРР</t>
  </si>
  <si>
    <t>Програма " Благоустрою м. Ужгород на 2018-2022 роки"</t>
  </si>
  <si>
    <t>ОСББ "Заньковецької,13"</t>
  </si>
  <si>
    <t>ОСББ " Грушевського,33 -Уж"</t>
  </si>
  <si>
    <t>ОСББ " Єдність - Годинки 8"</t>
  </si>
  <si>
    <t>ОСББ "Белінського,13"</t>
  </si>
  <si>
    <t>ОСББ "Щедріна 38А"</t>
  </si>
  <si>
    <t>ОСББ "Восход-Новий"</t>
  </si>
  <si>
    <t>"ОК Райдуга-3"</t>
  </si>
  <si>
    <t>ОСББ "Станційна 6"</t>
  </si>
  <si>
    <t>ОСББ "Грушевського 63,65"</t>
  </si>
  <si>
    <t>ОСББ "Загорська 15"</t>
  </si>
  <si>
    <t>ОСББ "М.Божук-6"</t>
  </si>
  <si>
    <t>ОСББ "29 Сечені"</t>
  </si>
  <si>
    <t>ОСББ "Добролюбова 4"</t>
  </si>
  <si>
    <t>ОСББ "Грушевського-33 Уж"</t>
  </si>
  <si>
    <t>ОСББ "Едельвейс Ужгород"</t>
  </si>
  <si>
    <t>ОСББ "8-Березня,30"</t>
  </si>
  <si>
    <t>ОСББ "Минайська 10"</t>
  </si>
  <si>
    <t>ОСББ "Можайського 18"</t>
  </si>
  <si>
    <t>АБ "Укргазбанк"</t>
  </si>
  <si>
    <t>ОСББ "Руданського,3"</t>
  </si>
  <si>
    <t>ОСББ "Сечені"</t>
  </si>
  <si>
    <t>ОСББ "Анод"</t>
  </si>
  <si>
    <t>ОСББ "Жасмин 14"</t>
  </si>
  <si>
    <t>ОСББ "Айвазовського 25"</t>
  </si>
  <si>
    <t>ОСББ "Столєтова 4"</t>
  </si>
  <si>
    <t>АТ "Ощадбанк"</t>
  </si>
  <si>
    <t>ОСББ "Транс-Буд 89"</t>
  </si>
  <si>
    <t>ОСББ "Щедріна,32"</t>
  </si>
  <si>
    <t>ОСББ "Проспект Свободи-54"</t>
  </si>
  <si>
    <t>ОСББ "Наша хата-45"</t>
  </si>
  <si>
    <t>Програма встановлення автономного електричного опалення у м. Ужгород на 2019 рік.</t>
  </si>
  <si>
    <t>ВСЬОГО по спеціальному фонду</t>
  </si>
  <si>
    <t>ТОВ " Дорстрой Монтаж Київ"</t>
  </si>
  <si>
    <t>капітальний ремонт дорожнього покриття транспортного мосту на пл. Б.Хмельницького</t>
  </si>
  <si>
    <t>капітальний ремонт пішохідної частини траснпортного мосту по вул. І.Анкудінова</t>
  </si>
  <si>
    <t>капітальний ремонт шляхопроводу по вул. І. Анкудінова</t>
  </si>
  <si>
    <t>ТОВ " Транс Буд"</t>
  </si>
  <si>
    <t>вул. Загорська</t>
  </si>
  <si>
    <t>вул. Тімірязєва</t>
  </si>
  <si>
    <t>ФОП " Бобрик М.Є."</t>
  </si>
  <si>
    <t>вул. л. Толстого,46-пл. Б.Хмельницького,3</t>
  </si>
  <si>
    <t>вул. Перемоги,157</t>
  </si>
  <si>
    <t>внутрішньо квартальна територія по вул. Канальна,29,31,33,35</t>
  </si>
  <si>
    <t>внутрішньо квартальна територія по вул. Айвазовського,18</t>
  </si>
  <si>
    <t>ТОВ "НВФ  Інпроект"</t>
  </si>
  <si>
    <t>ТОВ " Європарк - Уж"</t>
  </si>
  <si>
    <t>Капітальний ремонт покрівлі по вул. Щедріна,129</t>
  </si>
  <si>
    <t>вул.Мусорського,3</t>
  </si>
  <si>
    <t>вул. Минайська,12</t>
  </si>
  <si>
    <t>вул. Т.Легоцького,50 ЖБК "Сонячний"</t>
  </si>
  <si>
    <t>вул. Бородіна,14 (БК Бородіна,14)</t>
  </si>
  <si>
    <t>вул. Ф.Потушняка,9</t>
  </si>
  <si>
    <t>вул. О.Маресьєва,7</t>
  </si>
  <si>
    <t>вул.Грушевського,67 ( ОСББ "Грушевського,63,65,67")</t>
  </si>
  <si>
    <t>вул. Котляревського,4</t>
  </si>
  <si>
    <t>вул. Володимирська,82 ( ОСББ " Володимирська-82)</t>
  </si>
  <si>
    <t>вул. Минайська,67</t>
  </si>
  <si>
    <t>вул. О.Столєтова,4 ( ОСББ " Столєтова 4")</t>
  </si>
  <si>
    <t>вул. В.Комендаря,54</t>
  </si>
  <si>
    <t>вул. Оноківська,8</t>
  </si>
  <si>
    <t>Капітальний ремонт дашків житлових будинків ОСББ, ЖБК</t>
  </si>
  <si>
    <t>вул. І.Панькевича,79,81 (ОСББ " Енергетик,79,81")</t>
  </si>
  <si>
    <t>вул. О. Столєтова,4 ( ОСББ Столєтова,4")</t>
  </si>
  <si>
    <t>Капітальний ремонт балконів</t>
  </si>
  <si>
    <t>вул. Гарайди,1 ( ОСББ " Гарайди,1")</t>
  </si>
  <si>
    <t>Капітальний ремонт (заміна) дервяних заповнень віконних та дверних прорізів дитячого будинку сімейного типу по вул.М. Салтикова-Щедріна,129)</t>
  </si>
  <si>
    <t>вул. Челюскінців</t>
  </si>
  <si>
    <t>вул. І.Франка-Загорська</t>
  </si>
  <si>
    <t>вул. Зореслава</t>
  </si>
  <si>
    <t>вул. Керченська</t>
  </si>
  <si>
    <t>ДП " Закарпатський облавтодор"</t>
  </si>
  <si>
    <t>вул. Оноківська</t>
  </si>
  <si>
    <t>вул. Шахтарів</t>
  </si>
  <si>
    <t>вул. Бачинського</t>
  </si>
  <si>
    <t>вул. Богомольця</t>
  </si>
  <si>
    <t>ФОП Васильків М.М.</t>
  </si>
  <si>
    <t>вул. Журавлина</t>
  </si>
  <si>
    <t>вул. А.Дворжака</t>
  </si>
  <si>
    <t>вул. І. Дендеші</t>
  </si>
  <si>
    <t>Забезпечення утримання в належному стані об'єктів благоустрою</t>
  </si>
  <si>
    <t>Забезпечення благоустрою кладовищ</t>
  </si>
  <si>
    <t>вул. Перемоги (від вул. Легоцького до с.Сторожниця)</t>
  </si>
  <si>
    <t>Капітальний ремонт мережі зовнішнього освітлення міських вулиць</t>
  </si>
  <si>
    <t>вул. В. Комендаря,50</t>
  </si>
  <si>
    <t>субвенція з державного бюджету  місцевими бюджетами на здійснення заходів щодо соц.-економічного розвитку окремих територій</t>
  </si>
  <si>
    <t>Субвенція з місцевого бюджету на фінансування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ДБ</t>
  </si>
  <si>
    <t>Субвенція з місцевого бюджету на фінансове забезпечення будівництва, реконструкції, ремонту і утриманню автомобільних доріг загального користуваня місцевого значення, вулиць і доріг комунальної власностіу населених пунктах ( обласний бюджет)</t>
  </si>
  <si>
    <t>вул. Закарпатська</t>
  </si>
  <si>
    <t>ФОП КорольО.М.</t>
  </si>
  <si>
    <t>вул.Заньковецька</t>
  </si>
  <si>
    <t>ТОВ " Хаус Менеджмент"</t>
  </si>
  <si>
    <t>ТОВ " Транс-Стандарт -Буд"</t>
  </si>
  <si>
    <t>вул.Коритнянська ,8 блок (А)</t>
  </si>
  <si>
    <t>ТОВ "Уніекотех"</t>
  </si>
  <si>
    <t>ТОВ " Уніектох"</t>
  </si>
  <si>
    <t>ФОП Окапінський В.М.</t>
  </si>
  <si>
    <t>ФОП Ковач О.О.</t>
  </si>
  <si>
    <t>реонструкція спортивного майданчика по вул. Можайського,16</t>
  </si>
  <si>
    <t>капітальний ремонт святкової ілюмації</t>
  </si>
  <si>
    <t>ТОВ " Ужсвітло - Монтаж"</t>
  </si>
  <si>
    <t>ТОВ " Європарк -Уж"</t>
  </si>
  <si>
    <t>ФОП Кочетов В.В.</t>
  </si>
  <si>
    <t xml:space="preserve">ТОВ " Мішем" </t>
  </si>
  <si>
    <t xml:space="preserve">вул. Срібляста </t>
  </si>
  <si>
    <t>вул. Верещагіна</t>
  </si>
  <si>
    <t>вул. К.Тімірязєва</t>
  </si>
  <si>
    <t xml:space="preserve">вул. В.Комендаря </t>
  </si>
  <si>
    <t>вул. Духновича</t>
  </si>
  <si>
    <t>вул. Котляревського</t>
  </si>
  <si>
    <t>вул. Тиха</t>
  </si>
  <si>
    <t>вул. Стрільнична                                                          ( субвенція з обласного бюджету)</t>
  </si>
  <si>
    <t>ТОВ " Унгвар - електро"</t>
  </si>
  <si>
    <t>вул. Сільвая,5</t>
  </si>
  <si>
    <t>вул.Собранецька,124</t>
  </si>
  <si>
    <t xml:space="preserve">                                     Звіт про обсяги виконаних робіт, фінансування, касових видатків по КПКВК 1216030 за січень-грудень 2019 року</t>
  </si>
  <si>
    <t xml:space="preserve"> 90611000-3 Послуги з прибирання вулиць (Забезпечення утримання в належному стані міських доріг)</t>
  </si>
  <si>
    <t>90511000-2 Послуги зі збирання сміття (Утримання в належному стані території міста (ліквідація несанкціонованих сміттєзвалищ, вивіз сміття))</t>
  </si>
  <si>
    <t>77310000-6 Послуги з озеленення територій та утримання зелених насаджень (Збереження та утримання на належному рівні зелених зон міста)</t>
  </si>
  <si>
    <t>98370000-7 Поховальні та супутні послуги (Забезпечення благоустрою кладовищ)</t>
  </si>
  <si>
    <t>50232000-0 Послуги з технічного обслуговування систем освітлення вулиць і громадських місць та світлофорів (Забезпечення функціонування системи вуличного освітлення  (утримання систем вуличного освітлення))</t>
  </si>
  <si>
    <t>09310000-5 Електрична енергія  (Забезпечення функціонування системи вуличного освітлення  (енергія електрична))</t>
  </si>
  <si>
    <t>50232000-0 Послуги з технічного обслуговування систем освітлення вулиць і громадських місць та світлофорів (Забезпечення функціонування світлофорних об'єктів (утримання світлофорних об’єктів))</t>
  </si>
  <si>
    <t>45421000-4 Столярні роботи  Утримання в належному стані об'єктів благоустрою  (утримання малих архітектурних форм: монтаж та встановлення дерев'яних конструкцій)</t>
  </si>
  <si>
    <t>50511100-1 Послуги з ремонту і технічного обслуговування рідинних насосів ( Забезпечення функціонування міських фонтанів )</t>
  </si>
  <si>
    <t>90511300-5 Послуги зі збирання розкиданого сміття  (Забезпечення утримання в належному стані зони відпочинку та прибережної смуги)</t>
  </si>
  <si>
    <t>45421000-4 Столярні роботи (Забезпечення послуг по святковому оформленню міста (монтаж та встановлення дерев'яних конструкцій))</t>
  </si>
  <si>
    <t>45442121-1 Фарбування конструкцій (Забезпечення утримання в належному стані об'єктів благоустрою (фарбування об'єктів благоустрою))</t>
  </si>
  <si>
    <t>Директор департаменту                                  Володимир БАБИДОРИЧ</t>
  </si>
  <si>
    <t>Головний бухгалтер                                       Леся БАСАРАБ</t>
  </si>
  <si>
    <t xml:space="preserve">                                                                              Звіт про обсяги виконаних робіт, фінансування, касових видатків по КПКВК 1217442 за січень -грудень  2019 року</t>
  </si>
  <si>
    <t xml:space="preserve">                       Звіт про обсяги виконаних робіт, фінансування, касових видатків по КПКВК 1217670 за січень-грудень 2019 року</t>
  </si>
  <si>
    <t xml:space="preserve">                                                                            Звіт про обсяги виконаних робіт, фінансування, касових видатків по КПКВК 1216017 спеціальний фонд за січень-грудень  2019 року</t>
  </si>
  <si>
    <t xml:space="preserve">                                                                               Звіт про обсяги виконаних робіт, фінансування, касових видатків по КПКВК 1216017 загальний фонд за січень-грудень  2019р.</t>
  </si>
  <si>
    <t xml:space="preserve">                                                                                                                                                Звіт про обсяги виконаних робіт, фінансування, касових видатків по КПКВК 1216013  загальний фонд за січень -листопад  2019 року</t>
  </si>
  <si>
    <t xml:space="preserve">                                                                                                Звіт про обсяги виконаних робіт, фінансування, касових видатків по КПКВК 1218340 за січень - грудень 2019 року</t>
  </si>
  <si>
    <t xml:space="preserve">                                                                                                                                                       Звіт про обсяги виконаних робіт, фінансування, касових видатків по КПКВК 1217442  загальний фонд за січень -грудень  2019 року</t>
  </si>
  <si>
    <t xml:space="preserve">                                                                                                                 Звіт про обсяги виконаних робіт, фінансування, касових видатків по КПКВК 1217691 за січень -грудень  2019 року</t>
  </si>
  <si>
    <t xml:space="preserve">                                                                                        Звіт про обсяги виконаних робіт, фінансування, касових видатків по КПКВК 1216030 за січень-грудень  2019 року</t>
  </si>
  <si>
    <t xml:space="preserve">                                                                                         Звіт про обсяги виконаних робіт, фінансування, касових видатків по КПКВК 1217363 за січень -грудень  2019 року</t>
  </si>
  <si>
    <t xml:space="preserve">                                        Звіт про обсяги виконаних робіт, фінансування, касових видатків по КПКВК 1217462 за січень-грудень 2019 року</t>
  </si>
  <si>
    <t xml:space="preserve">                                                                                                                    Звіт про обсяги виконаних робіт, фінансування, касових видатків по КПКВК 1217361 за січень-грудень  2019 року</t>
  </si>
  <si>
    <t xml:space="preserve">                                                                                                           Звіт про обсяги виконаних робіт, фінансування, касових видатків по КПКВК 1217463 за січень-грудень  2019 року</t>
  </si>
  <si>
    <t xml:space="preserve">                                                                                                        Звіт про обсяги виконаних робіт, фінансування, касових видатків по КПКВК 1218320 за січень-грудень 2019 року</t>
  </si>
  <si>
    <t xml:space="preserve">                                                                                                                                                                          Звіт про обсяги виконаних робіт, фінансування, касових видатків по КПКВК 2761070 за січень-грудень   2019 року ( загальний фонд)</t>
  </si>
  <si>
    <t xml:space="preserve">                                                                                                                                                                                                          Звіт про обсяги виконаних робіт, фінансування, касових видатків по КПКВК 2761070 за січень-грудень 2019 року  ( спеціальний  фонд)</t>
  </si>
  <si>
    <t>ОСББ "Насипна 10"</t>
  </si>
  <si>
    <t>ОСББ "Енергетик 79,81"</t>
  </si>
  <si>
    <t>ОСББ "Керченське-Ужгород"</t>
  </si>
  <si>
    <t>ОСББ "Таллін"</t>
  </si>
  <si>
    <t>ОСББ "Сечені 50"</t>
  </si>
  <si>
    <t>ОСББ Заньковецька, 17"</t>
  </si>
  <si>
    <t>ОСББ "Оберіг-64"</t>
  </si>
  <si>
    <t>ОСББ "Благо-14"</t>
  </si>
  <si>
    <t>ОСББ "Наш едем"</t>
  </si>
  <si>
    <t>ОСББ "Декабристів 53"</t>
  </si>
  <si>
    <t>ОСББ "Тихого 19"</t>
  </si>
  <si>
    <t>ОСББ "Грушевського 33-Уж"</t>
  </si>
  <si>
    <t>ОСББ "Лермонтова 1-Ужгород"</t>
  </si>
  <si>
    <t xml:space="preserve">Реконструкція системи вуличного освітлення міста Ужгорода ІІ черга (послуги з управління проектом )             </t>
  </si>
  <si>
    <t>Реконструкція системи вуличного освітлення міста Ужгорода ІІ черга - співфінансування міського бюджету</t>
  </si>
  <si>
    <t>Реконструкція системи вуличного освітлення міста Ужгорода ІІ черга, проект  НЕФКО -кредитні кошти</t>
  </si>
  <si>
    <t xml:space="preserve">                                                                                Звіт про обсяги виконаних робіт, фінансування, касових видатків по КПКВК 1217640 за січень - грудень 2019   року</t>
  </si>
</sst>
</file>

<file path=xl/styles.xml><?xml version="1.0" encoding="utf-8"?>
<styleSheet xmlns="http://schemas.openxmlformats.org/spreadsheetml/2006/main">
  <numFmts count="4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"/>
    <numFmt numFmtId="189" formatCode="_-* #,##0.000_₴_-;\-* #,##0.000_₴_-;_-* &quot;-&quot;??_₴_-;_-@_-"/>
    <numFmt numFmtId="190" formatCode="#,##0_₴"/>
    <numFmt numFmtId="191" formatCode="#,##0.00_₴"/>
    <numFmt numFmtId="192" formatCode="#,##0.0_₴"/>
    <numFmt numFmtId="193" formatCode="#,##0&quot;₴&quot;"/>
    <numFmt numFmtId="194" formatCode="0.0000"/>
    <numFmt numFmtId="195" formatCode="#,##0.00&quot;₴&quot;"/>
    <numFmt numFmtId="196" formatCode="#,##0.0&quot;₴&quot;"/>
    <numFmt numFmtId="197" formatCode="_(&quot;$&quot;* #,##0.00_);_(&quot;$&quot;* \(#,##0.00\);_(&quot;$&quot;* &quot;-&quot;??_);_(@_)"/>
    <numFmt numFmtId="198" formatCode="[$-422]d\ mmmm\ yyyy&quot; р.&quot;"/>
  </numFmts>
  <fonts count="6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sz val="10"/>
      <color indexed="12"/>
      <name val="Arial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12"/>
      <name val="Times New Roman"/>
      <family val="1"/>
    </font>
    <font>
      <sz val="10"/>
      <color indexed="52"/>
      <name val="Times New Roman"/>
      <family val="1"/>
    </font>
    <font>
      <sz val="12"/>
      <color indexed="8"/>
      <name val="Times New Roman"/>
      <family val="1"/>
    </font>
    <font>
      <sz val="9"/>
      <color indexed="5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0"/>
      <color rgb="FF0000FF"/>
      <name val="Arial"/>
      <family val="2"/>
    </font>
    <font>
      <sz val="10"/>
      <color rgb="FF0000CC"/>
      <name val="Arial"/>
      <family val="2"/>
    </font>
    <font>
      <sz val="8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0000FF"/>
      <name val="Times New Roman"/>
      <family val="1"/>
    </font>
    <font>
      <sz val="10"/>
      <color theme="9" tint="0.39998000860214233"/>
      <name val="Times New Roman"/>
      <family val="1"/>
    </font>
    <font>
      <sz val="12"/>
      <color theme="1"/>
      <name val="Times New Roman"/>
      <family val="1"/>
    </font>
    <font>
      <sz val="9"/>
      <color theme="9" tint="0.5999900102615356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46" fillId="0" borderId="0" applyNumberFormat="0" applyFill="0" applyBorder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197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2" fillId="0" borderId="0">
      <alignment vertical="top"/>
      <protection/>
    </xf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34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Font="1" applyAlignment="1">
      <alignment/>
    </xf>
    <xf numFmtId="0" fontId="18" fillId="24" borderId="0" xfId="0" applyFont="1" applyFill="1" applyAlignment="1">
      <alignment horizontal="center"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24" borderId="0" xfId="0" applyFont="1" applyFill="1" applyAlignment="1">
      <alignment/>
    </xf>
    <xf numFmtId="0" fontId="48" fillId="24" borderId="0" xfId="0" applyFont="1" applyFill="1" applyAlignment="1">
      <alignment/>
    </xf>
    <xf numFmtId="0" fontId="21" fillId="0" borderId="0" xfId="0" applyFont="1" applyAlignment="1">
      <alignment/>
    </xf>
    <xf numFmtId="0" fontId="18" fillId="25" borderId="10" xfId="58" applyFont="1" applyFill="1" applyBorder="1" applyAlignment="1">
      <alignment horizontal="center" vertical="center" wrapText="1"/>
      <protection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24" borderId="0" xfId="0" applyFont="1" applyFill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19" fillId="24" borderId="0" xfId="0" applyFont="1" applyFill="1" applyAlignment="1">
      <alignment horizontal="center"/>
    </xf>
    <xf numFmtId="0" fontId="50" fillId="24" borderId="10" xfId="57" applyFont="1" applyFill="1" applyBorder="1" applyAlignment="1">
      <alignment wrapText="1"/>
      <protection/>
    </xf>
    <xf numFmtId="190" fontId="50" fillId="24" borderId="10" xfId="58" applyNumberFormat="1" applyFont="1" applyFill="1" applyBorder="1" applyAlignment="1">
      <alignment horizontal="right" wrapText="1"/>
      <protection/>
    </xf>
    <xf numFmtId="0" fontId="51" fillId="0" borderId="0" xfId="0" applyFont="1" applyAlignment="1">
      <alignment/>
    </xf>
    <xf numFmtId="0" fontId="50" fillId="24" borderId="11" xfId="57" applyFont="1" applyFill="1" applyBorder="1" applyAlignment="1">
      <alignment wrapText="1"/>
      <protection/>
    </xf>
    <xf numFmtId="0" fontId="52" fillId="24" borderId="10" xfId="58" applyFont="1" applyFill="1" applyBorder="1" applyAlignment="1">
      <alignment horizontal="center" vertical="center" wrapText="1"/>
      <protection/>
    </xf>
    <xf numFmtId="0" fontId="52" fillId="24" borderId="10" xfId="0" applyFont="1" applyFill="1" applyBorder="1" applyAlignment="1">
      <alignment horizontal="center"/>
    </xf>
    <xf numFmtId="0" fontId="53" fillId="0" borderId="0" xfId="58" applyFont="1" applyFill="1" applyBorder="1" applyAlignment="1">
      <alignment horizontal="center" vertical="center" wrapText="1"/>
      <protection/>
    </xf>
    <xf numFmtId="0" fontId="52" fillId="0" borderId="0" xfId="0" applyFont="1" applyFill="1" applyBorder="1" applyAlignment="1">
      <alignment horizontal="center"/>
    </xf>
    <xf numFmtId="4" fontId="53" fillId="0" borderId="0" xfId="0" applyNumberFormat="1" applyFont="1" applyFill="1" applyBorder="1" applyAlignment="1">
      <alignment horizontal="center"/>
    </xf>
    <xf numFmtId="0" fontId="52" fillId="0" borderId="0" xfId="0" applyFont="1" applyFill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0" fillId="24" borderId="0" xfId="0" applyFont="1" applyFill="1" applyAlignment="1">
      <alignment/>
    </xf>
    <xf numFmtId="0" fontId="50" fillId="24" borderId="10" xfId="58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2" fillId="24" borderId="10" xfId="0" applyFont="1" applyFill="1" applyBorder="1" applyAlignment="1">
      <alignment horizontal="center" vertical="center"/>
    </xf>
    <xf numFmtId="0" fontId="54" fillId="0" borderId="0" xfId="0" applyFont="1" applyFill="1" applyAlignment="1">
      <alignment/>
    </xf>
    <xf numFmtId="0" fontId="54" fillId="0" borderId="0" xfId="0" applyFont="1" applyFill="1" applyBorder="1" applyAlignment="1">
      <alignment horizontal="center"/>
    </xf>
    <xf numFmtId="4" fontId="54" fillId="0" borderId="0" xfId="0" applyNumberFormat="1" applyFont="1" applyFill="1" applyBorder="1" applyAlignment="1">
      <alignment horizontal="center"/>
    </xf>
    <xf numFmtId="0" fontId="54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/>
    </xf>
    <xf numFmtId="0" fontId="19" fillId="24" borderId="10" xfId="0" applyFont="1" applyFill="1" applyBorder="1" applyAlignment="1">
      <alignment horizontal="center"/>
    </xf>
    <xf numFmtId="0" fontId="19" fillId="24" borderId="10" xfId="57" applyFont="1" applyFill="1" applyBorder="1" applyAlignment="1">
      <alignment wrapText="1"/>
      <protection/>
    </xf>
    <xf numFmtId="0" fontId="19" fillId="24" borderId="10" xfId="58" applyFont="1" applyFill="1" applyBorder="1" applyAlignment="1">
      <alignment horizontal="center" vertical="center" wrapText="1"/>
      <protection/>
    </xf>
    <xf numFmtId="2" fontId="19" fillId="24" borderId="10" xfId="0" applyNumberFormat="1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 vertical="center"/>
    </xf>
    <xf numFmtId="2" fontId="19" fillId="24" borderId="10" xfId="0" applyNumberFormat="1" applyFont="1" applyFill="1" applyBorder="1" applyAlignment="1">
      <alignment horizontal="center" vertical="center"/>
    </xf>
    <xf numFmtId="2" fontId="19" fillId="24" borderId="10" xfId="58" applyNumberFormat="1" applyFont="1" applyFill="1" applyBorder="1" applyAlignment="1">
      <alignment horizontal="center" vertical="center" wrapText="1"/>
      <protection/>
    </xf>
    <xf numFmtId="2" fontId="19" fillId="24" borderId="11" xfId="58" applyNumberFormat="1" applyFont="1" applyFill="1" applyBorder="1" applyAlignment="1">
      <alignment horizontal="center" vertical="center" wrapText="1"/>
      <protection/>
    </xf>
    <xf numFmtId="2" fontId="52" fillId="24" borderId="10" xfId="58" applyNumberFormat="1" applyFont="1" applyFill="1" applyBorder="1" applyAlignment="1">
      <alignment horizontal="center" vertical="center" wrapText="1"/>
      <protection/>
    </xf>
    <xf numFmtId="0" fontId="18" fillId="24" borderId="12" xfId="0" applyFont="1" applyFill="1" applyBorder="1" applyAlignment="1">
      <alignment horizontal="left" wrapText="1"/>
    </xf>
    <xf numFmtId="0" fontId="18" fillId="24" borderId="10" xfId="58" applyFont="1" applyFill="1" applyBorder="1" applyAlignment="1">
      <alignment horizontal="center" vertical="center" wrapText="1"/>
      <protection/>
    </xf>
    <xf numFmtId="190" fontId="18" fillId="24" borderId="10" xfId="58" applyNumberFormat="1" applyFont="1" applyFill="1" applyBorder="1" applyAlignment="1">
      <alignment horizontal="right" vertical="center" wrapText="1"/>
      <protection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190" fontId="18" fillId="24" borderId="10" xfId="58" applyNumberFormat="1" applyFont="1" applyFill="1" applyBorder="1" applyAlignment="1">
      <alignment horizontal="right" wrapText="1"/>
      <protection/>
    </xf>
    <xf numFmtId="2" fontId="18" fillId="24" borderId="10" xfId="0" applyNumberFormat="1" applyFont="1" applyFill="1" applyBorder="1" applyAlignment="1">
      <alignment horizontal="center"/>
    </xf>
    <xf numFmtId="2" fontId="18" fillId="24" borderId="10" xfId="58" applyNumberFormat="1" applyFont="1" applyFill="1" applyBorder="1" applyAlignment="1">
      <alignment horizontal="center" vertical="center" wrapText="1"/>
      <protection/>
    </xf>
    <xf numFmtId="0" fontId="24" fillId="24" borderId="10" xfId="57" applyFont="1" applyFill="1" applyBorder="1" applyAlignment="1">
      <alignment vertical="center" wrapText="1"/>
      <protection/>
    </xf>
    <xf numFmtId="2" fontId="19" fillId="24" borderId="13" xfId="58" applyNumberFormat="1" applyFont="1" applyFill="1" applyBorder="1" applyAlignment="1">
      <alignment horizontal="center" vertical="center" wrapText="1"/>
      <protection/>
    </xf>
    <xf numFmtId="2" fontId="52" fillId="24" borderId="10" xfId="0" applyNumberFormat="1" applyFont="1" applyFill="1" applyBorder="1" applyAlignment="1">
      <alignment horizontal="center" vertical="center"/>
    </xf>
    <xf numFmtId="0" fontId="19" fillId="24" borderId="10" xfId="58" applyFont="1" applyFill="1" applyBorder="1" applyAlignment="1">
      <alignment horizontal="center" wrapText="1"/>
      <protection/>
    </xf>
    <xf numFmtId="0" fontId="19" fillId="24" borderId="12" xfId="58" applyFont="1" applyFill="1" applyBorder="1" applyAlignment="1">
      <alignment horizontal="center" vertical="center" wrapText="1"/>
      <protection/>
    </xf>
    <xf numFmtId="2" fontId="19" fillId="24" borderId="12" xfId="58" applyNumberFormat="1" applyFont="1" applyFill="1" applyBorder="1" applyAlignment="1">
      <alignment horizontal="center" vertical="center" wrapText="1"/>
      <protection/>
    </xf>
    <xf numFmtId="2" fontId="19" fillId="24" borderId="12" xfId="0" applyNumberFormat="1" applyFont="1" applyFill="1" applyBorder="1" applyAlignment="1">
      <alignment horizontal="center" vertical="center"/>
    </xf>
    <xf numFmtId="0" fontId="19" fillId="24" borderId="11" xfId="58" applyFont="1" applyFill="1" applyBorder="1" applyAlignment="1">
      <alignment horizontal="center" wrapText="1"/>
      <protection/>
    </xf>
    <xf numFmtId="0" fontId="55" fillId="0" borderId="14" xfId="58" applyFont="1" applyBorder="1" applyAlignment="1">
      <alignment horizontal="center" vertical="center" wrapText="1"/>
      <protection/>
    </xf>
    <xf numFmtId="0" fontId="24" fillId="24" borderId="10" xfId="0" applyFont="1" applyFill="1" applyBorder="1" applyAlignment="1">
      <alignment horizontal="center" wrapText="1"/>
    </xf>
    <xf numFmtId="0" fontId="24" fillId="24" borderId="10" xfId="0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horizontal="center"/>
    </xf>
    <xf numFmtId="190" fontId="24" fillId="24" borderId="10" xfId="0" applyNumberFormat="1" applyFont="1" applyFill="1" applyBorder="1" applyAlignment="1">
      <alignment horizontal="center"/>
    </xf>
    <xf numFmtId="0" fontId="24" fillId="24" borderId="10" xfId="58" applyFont="1" applyFill="1" applyBorder="1" applyAlignment="1">
      <alignment horizontal="center" vertical="center" wrapText="1"/>
      <protection/>
    </xf>
    <xf numFmtId="2" fontId="24" fillId="24" borderId="10" xfId="57" applyNumberFormat="1" applyFont="1" applyFill="1" applyBorder="1" applyAlignment="1">
      <alignment vertical="center" wrapText="1"/>
      <protection/>
    </xf>
    <xf numFmtId="2" fontId="24" fillId="24" borderId="10" xfId="58" applyNumberFormat="1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/>
    </xf>
    <xf numFmtId="2" fontId="24" fillId="0" borderId="10" xfId="0" applyNumberFormat="1" applyFont="1" applyBorder="1" applyAlignment="1">
      <alignment horizontal="center"/>
    </xf>
    <xf numFmtId="2" fontId="18" fillId="24" borderId="10" xfId="0" applyNumberFormat="1" applyFont="1" applyFill="1" applyBorder="1" applyAlignment="1">
      <alignment horizontal="center" vertical="center"/>
    </xf>
    <xf numFmtId="0" fontId="19" fillId="24" borderId="12" xfId="57" applyFont="1" applyFill="1" applyBorder="1" applyAlignment="1">
      <alignment wrapText="1"/>
      <protection/>
    </xf>
    <xf numFmtId="0" fontId="19" fillId="24" borderId="12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 vertical="center"/>
    </xf>
    <xf numFmtId="0" fontId="19" fillId="24" borderId="12" xfId="58" applyFont="1" applyFill="1" applyBorder="1" applyAlignment="1">
      <alignment horizontal="center" wrapText="1"/>
      <protection/>
    </xf>
    <xf numFmtId="2" fontId="19" fillId="24" borderId="12" xfId="0" applyNumberFormat="1" applyFont="1" applyFill="1" applyBorder="1" applyAlignment="1">
      <alignment horizontal="center"/>
    </xf>
    <xf numFmtId="0" fontId="19" fillId="24" borderId="13" xfId="58" applyFont="1" applyFill="1" applyBorder="1" applyAlignment="1">
      <alignment horizontal="center" wrapText="1"/>
      <protection/>
    </xf>
    <xf numFmtId="2" fontId="19" fillId="24" borderId="13" xfId="0" applyNumberFormat="1" applyFont="1" applyFill="1" applyBorder="1" applyAlignment="1">
      <alignment horizontal="center"/>
    </xf>
    <xf numFmtId="0" fontId="19" fillId="24" borderId="13" xfId="0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 vertical="center" wrapText="1"/>
    </xf>
    <xf numFmtId="2" fontId="56" fillId="0" borderId="10" xfId="0" applyNumberFormat="1" applyFont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/>
    </xf>
    <xf numFmtId="0" fontId="19" fillId="25" borderId="10" xfId="58" applyFont="1" applyFill="1" applyBorder="1" applyAlignment="1">
      <alignment horizontal="center" vertical="center" wrapText="1"/>
      <protection/>
    </xf>
    <xf numFmtId="0" fontId="53" fillId="0" borderId="0" xfId="0" applyFont="1" applyFill="1" applyBorder="1" applyAlignment="1">
      <alignment horizontal="center"/>
    </xf>
    <xf numFmtId="2" fontId="20" fillId="24" borderId="10" xfId="58" applyNumberFormat="1" applyFont="1" applyFill="1" applyBorder="1" applyAlignment="1">
      <alignment horizontal="center" vertical="center" wrapText="1"/>
      <protection/>
    </xf>
    <xf numFmtId="2" fontId="24" fillId="24" borderId="10" xfId="0" applyNumberFormat="1" applyFont="1" applyFill="1" applyBorder="1" applyAlignment="1">
      <alignment horizontal="center" vertical="center"/>
    </xf>
    <xf numFmtId="0" fontId="18" fillId="24" borderId="10" xfId="0" applyFont="1" applyFill="1" applyBorder="1" applyAlignment="1">
      <alignment horizontal="left" wrapText="1"/>
    </xf>
    <xf numFmtId="2" fontId="19" fillId="24" borderId="12" xfId="58" applyNumberFormat="1" applyFont="1" applyFill="1" applyBorder="1" applyAlignment="1">
      <alignment horizontal="center" wrapText="1"/>
      <protection/>
    </xf>
    <xf numFmtId="0" fontId="19" fillId="24" borderId="0" xfId="0" applyFont="1" applyFill="1" applyAlignment="1">
      <alignment/>
    </xf>
    <xf numFmtId="0" fontId="18" fillId="24" borderId="10" xfId="0" applyFont="1" applyFill="1" applyBorder="1" applyAlignment="1">
      <alignment horizontal="left" vertical="center" wrapText="1"/>
    </xf>
    <xf numFmtId="0" fontId="24" fillId="0" borderId="0" xfId="0" applyFont="1" applyAlignment="1">
      <alignment/>
    </xf>
    <xf numFmtId="0" fontId="19" fillId="24" borderId="15" xfId="58" applyFont="1" applyFill="1" applyBorder="1" applyAlignment="1">
      <alignment horizontal="center" wrapText="1"/>
      <protection/>
    </xf>
    <xf numFmtId="0" fontId="24" fillId="24" borderId="10" xfId="0" applyFont="1" applyFill="1" applyBorder="1" applyAlignment="1">
      <alignment vertical="center" wrapText="1"/>
    </xf>
    <xf numFmtId="190" fontId="24" fillId="24" borderId="10" xfId="58" applyNumberFormat="1" applyFont="1" applyFill="1" applyBorder="1" applyAlignment="1">
      <alignment horizontal="right" vertical="center" wrapText="1"/>
      <protection/>
    </xf>
    <xf numFmtId="0" fontId="18" fillId="24" borderId="10" xfId="0" applyFont="1" applyFill="1" applyBorder="1" applyAlignment="1">
      <alignment wrapText="1"/>
    </xf>
    <xf numFmtId="49" fontId="19" fillId="0" borderId="0" xfId="0" applyNumberFormat="1" applyFont="1" applyAlignment="1">
      <alignment horizontal="center"/>
    </xf>
    <xf numFmtId="0" fontId="24" fillId="24" borderId="10" xfId="57" applyFont="1" applyFill="1" applyBorder="1" applyAlignment="1">
      <alignment wrapText="1"/>
      <protection/>
    </xf>
    <xf numFmtId="2" fontId="20" fillId="24" borderId="12" xfId="58" applyNumberFormat="1" applyFont="1" applyFill="1" applyBorder="1" applyAlignment="1">
      <alignment horizontal="center" vertical="center" wrapText="1"/>
      <protection/>
    </xf>
    <xf numFmtId="0" fontId="57" fillId="24" borderId="10" xfId="58" applyFont="1" applyFill="1" applyBorder="1" applyAlignment="1">
      <alignment horizontal="center" vertical="center" wrapText="1"/>
      <protection/>
    </xf>
    <xf numFmtId="49" fontId="19" fillId="24" borderId="10" xfId="58" applyNumberFormat="1" applyFont="1" applyFill="1" applyBorder="1" applyAlignment="1">
      <alignment horizontal="center" vertical="center" wrapText="1"/>
      <protection/>
    </xf>
    <xf numFmtId="0" fontId="19" fillId="24" borderId="10" xfId="0" applyFont="1" applyFill="1" applyBorder="1" applyAlignment="1">
      <alignment horizontal="center" vertical="center"/>
    </xf>
    <xf numFmtId="0" fontId="23" fillId="24" borderId="16" xfId="58" applyFont="1" applyFill="1" applyBorder="1" applyAlignment="1">
      <alignment horizontal="center" vertical="center" wrapText="1"/>
      <protection/>
    </xf>
    <xf numFmtId="0" fontId="54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19" fillId="24" borderId="11" xfId="57" applyFont="1" applyFill="1" applyBorder="1" applyAlignment="1">
      <alignment wrapText="1"/>
      <protection/>
    </xf>
    <xf numFmtId="0" fontId="19" fillId="24" borderId="10" xfId="58" applyNumberFormat="1" applyFont="1" applyFill="1" applyBorder="1" applyAlignment="1">
      <alignment horizontal="center" vertical="center" wrapText="1"/>
      <protection/>
    </xf>
    <xf numFmtId="2" fontId="50" fillId="24" borderId="10" xfId="58" applyNumberFormat="1" applyFont="1" applyFill="1" applyBorder="1" applyAlignment="1">
      <alignment horizontal="center" vertical="center" wrapText="1"/>
      <protection/>
    </xf>
    <xf numFmtId="0" fontId="18" fillId="24" borderId="10" xfId="58" applyFont="1" applyFill="1" applyBorder="1" applyAlignment="1">
      <alignment horizontal="center" wrapText="1"/>
      <protection/>
    </xf>
    <xf numFmtId="0" fontId="19" fillId="24" borderId="10" xfId="0" applyFont="1" applyFill="1" applyBorder="1" applyAlignment="1">
      <alignment horizontal="left" wrapText="1"/>
    </xf>
    <xf numFmtId="0" fontId="24" fillId="24" borderId="12" xfId="58" applyFont="1" applyFill="1" applyBorder="1" applyAlignment="1">
      <alignment horizontal="center" vertical="center" wrapText="1"/>
      <protection/>
    </xf>
    <xf numFmtId="0" fontId="19" fillId="24" borderId="11" xfId="58" applyFont="1" applyFill="1" applyBorder="1" applyAlignment="1">
      <alignment horizontal="center" vertical="center" wrapText="1"/>
      <protection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wrapText="1"/>
    </xf>
    <xf numFmtId="0" fontId="0" fillId="24" borderId="10" xfId="0" applyFont="1" applyFill="1" applyBorder="1" applyAlignment="1">
      <alignment horizontal="center" vertical="center" wrapText="1"/>
    </xf>
    <xf numFmtId="0" fontId="23" fillId="24" borderId="17" xfId="58" applyFont="1" applyFill="1" applyBorder="1" applyAlignment="1">
      <alignment horizontal="center" vertical="center" wrapText="1"/>
      <protection/>
    </xf>
    <xf numFmtId="0" fontId="24" fillId="24" borderId="13" xfId="58" applyFont="1" applyFill="1" applyBorder="1" applyAlignment="1">
      <alignment horizontal="center" vertical="center" wrapText="1"/>
      <protection/>
    </xf>
    <xf numFmtId="0" fontId="23" fillId="24" borderId="18" xfId="58" applyFont="1" applyFill="1" applyBorder="1" applyAlignment="1">
      <alignment horizontal="center" vertical="center" wrapText="1"/>
      <protection/>
    </xf>
    <xf numFmtId="0" fontId="23" fillId="24" borderId="17" xfId="0" applyFont="1" applyFill="1" applyBorder="1" applyAlignment="1">
      <alignment horizontal="center"/>
    </xf>
    <xf numFmtId="191" fontId="24" fillId="24" borderId="10" xfId="58" applyNumberFormat="1" applyFont="1" applyFill="1" applyBorder="1" applyAlignment="1">
      <alignment horizontal="right" vertical="center" wrapText="1"/>
      <protection/>
    </xf>
    <xf numFmtId="2" fontId="24" fillId="24" borderId="19" xfId="58" applyNumberFormat="1" applyFont="1" applyFill="1" applyBorder="1" applyAlignment="1">
      <alignment horizontal="center" vertical="center" wrapText="1"/>
      <protection/>
    </xf>
    <xf numFmtId="2" fontId="24" fillId="24" borderId="17" xfId="0" applyNumberFormat="1" applyFont="1" applyFill="1" applyBorder="1" applyAlignment="1">
      <alignment horizontal="center" vertical="center"/>
    </xf>
    <xf numFmtId="2" fontId="24" fillId="24" borderId="10" xfId="58" applyNumberFormat="1" applyFont="1" applyFill="1" applyBorder="1" applyAlignment="1">
      <alignment horizontal="right" vertical="center" wrapText="1"/>
      <protection/>
    </xf>
    <xf numFmtId="2" fontId="24" fillId="24" borderId="11" xfId="58" applyNumberFormat="1" applyFont="1" applyFill="1" applyBorder="1" applyAlignment="1">
      <alignment horizontal="right" vertical="center" wrapText="1"/>
      <protection/>
    </xf>
    <xf numFmtId="0" fontId="24" fillId="24" borderId="20" xfId="58" applyFont="1" applyFill="1" applyBorder="1" applyAlignment="1">
      <alignment horizontal="center" vertical="center" wrapText="1"/>
      <protection/>
    </xf>
    <xf numFmtId="0" fontId="24" fillId="24" borderId="20" xfId="58" applyFont="1" applyFill="1" applyBorder="1" applyAlignment="1">
      <alignment horizontal="left" wrapText="1"/>
      <protection/>
    </xf>
    <xf numFmtId="2" fontId="24" fillId="24" borderId="20" xfId="0" applyNumberFormat="1" applyFont="1" applyFill="1" applyBorder="1" applyAlignment="1">
      <alignment horizontal="center" vertical="center"/>
    </xf>
    <xf numFmtId="2" fontId="24" fillId="24" borderId="16" xfId="0" applyNumberFormat="1" applyFont="1" applyFill="1" applyBorder="1" applyAlignment="1">
      <alignment horizontal="center" vertical="center"/>
    </xf>
    <xf numFmtId="2" fontId="24" fillId="24" borderId="20" xfId="58" applyNumberFormat="1" applyFont="1" applyFill="1" applyBorder="1" applyAlignment="1">
      <alignment horizontal="right" vertical="center" wrapText="1"/>
      <protection/>
    </xf>
    <xf numFmtId="0" fontId="24" fillId="24" borderId="17" xfId="58" applyFont="1" applyFill="1" applyBorder="1" applyAlignment="1">
      <alignment horizontal="left" wrapText="1"/>
      <protection/>
    </xf>
    <xf numFmtId="2" fontId="24" fillId="24" borderId="17" xfId="58" applyNumberFormat="1" applyFont="1" applyFill="1" applyBorder="1" applyAlignment="1">
      <alignment horizontal="right" vertical="center" wrapText="1"/>
      <protection/>
    </xf>
    <xf numFmtId="2" fontId="24" fillId="24" borderId="16" xfId="58" applyNumberFormat="1" applyFont="1" applyFill="1" applyBorder="1" applyAlignment="1">
      <alignment horizontal="right" vertical="center" wrapText="1"/>
      <protection/>
    </xf>
    <xf numFmtId="2" fontId="24" fillId="24" borderId="21" xfId="58" applyNumberFormat="1" applyFont="1" applyFill="1" applyBorder="1" applyAlignment="1">
      <alignment horizontal="right" vertical="center" wrapText="1"/>
      <protection/>
    </xf>
    <xf numFmtId="2" fontId="24" fillId="24" borderId="21" xfId="0" applyNumberFormat="1" applyFont="1" applyFill="1" applyBorder="1" applyAlignment="1">
      <alignment horizontal="center" vertical="center"/>
    </xf>
    <xf numFmtId="0" fontId="24" fillId="24" borderId="10" xfId="58" applyFont="1" applyFill="1" applyBorder="1" applyAlignment="1">
      <alignment horizontal="left" wrapText="1"/>
      <protection/>
    </xf>
    <xf numFmtId="0" fontId="19" fillId="24" borderId="11" xfId="58" applyFont="1" applyFill="1" applyBorder="1" applyAlignment="1">
      <alignment horizontal="center" vertical="center"/>
      <protection/>
    </xf>
    <xf numFmtId="0" fontId="19" fillId="24" borderId="13" xfId="58" applyFont="1" applyFill="1" applyBorder="1" applyAlignment="1">
      <alignment horizontal="center" vertical="center" wrapText="1"/>
      <protection/>
    </xf>
    <xf numFmtId="0" fontId="19" fillId="24" borderId="11" xfId="57" applyFont="1" applyFill="1" applyBorder="1" applyAlignment="1">
      <alignment vertical="center"/>
      <protection/>
    </xf>
    <xf numFmtId="0" fontId="19" fillId="24" borderId="13" xfId="0" applyFont="1" applyFill="1" applyBorder="1" applyAlignment="1">
      <alignment wrapText="1"/>
    </xf>
    <xf numFmtId="2" fontId="19" fillId="24" borderId="10" xfId="58" applyNumberFormat="1" applyFont="1" applyFill="1" applyBorder="1" applyAlignment="1">
      <alignment horizontal="center" wrapText="1"/>
      <protection/>
    </xf>
    <xf numFmtId="0" fontId="18" fillId="24" borderId="10" xfId="58" applyFont="1" applyFill="1" applyBorder="1" applyAlignment="1">
      <alignment horizontal="right" vertical="center" wrapText="1"/>
      <protection/>
    </xf>
    <xf numFmtId="0" fontId="18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wrapText="1"/>
    </xf>
    <xf numFmtId="2" fontId="56" fillId="24" borderId="10" xfId="0" applyNumberFormat="1" applyFont="1" applyFill="1" applyBorder="1" applyAlignment="1">
      <alignment horizontal="center"/>
    </xf>
    <xf numFmtId="0" fontId="24" fillId="24" borderId="11" xfId="58" applyFont="1" applyFill="1" applyBorder="1" applyAlignment="1">
      <alignment horizontal="center" vertical="center" wrapText="1"/>
      <protection/>
    </xf>
    <xf numFmtId="0" fontId="54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 wrapText="1"/>
    </xf>
    <xf numFmtId="0" fontId="54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center" wrapText="1"/>
    </xf>
    <xf numFmtId="0" fontId="54" fillId="0" borderId="0" xfId="0" applyFont="1" applyFill="1" applyBorder="1" applyAlignment="1">
      <alignment horizontal="center"/>
    </xf>
    <xf numFmtId="0" fontId="19" fillId="24" borderId="11" xfId="58" applyFont="1" applyFill="1" applyBorder="1" applyAlignment="1">
      <alignment horizontal="center" vertical="center" wrapText="1"/>
      <protection/>
    </xf>
    <xf numFmtId="0" fontId="19" fillId="24" borderId="10" xfId="57" applyFont="1" applyFill="1" applyBorder="1" applyAlignment="1">
      <alignment vertical="center" wrapText="1"/>
      <protection/>
    </xf>
    <xf numFmtId="0" fontId="24" fillId="25" borderId="10" xfId="58" applyFont="1" applyFill="1" applyBorder="1" applyAlignment="1">
      <alignment horizontal="center" vertical="center" wrapText="1"/>
      <protection/>
    </xf>
    <xf numFmtId="0" fontId="53" fillId="0" borderId="0" xfId="0" applyFont="1" applyFill="1" applyBorder="1" applyAlignment="1">
      <alignment horizontal="center"/>
    </xf>
    <xf numFmtId="0" fontId="24" fillId="24" borderId="22" xfId="58" applyFont="1" applyFill="1" applyBorder="1" applyAlignment="1">
      <alignment horizontal="center" vertical="center" wrapText="1"/>
      <protection/>
    </xf>
    <xf numFmtId="0" fontId="24" fillId="24" borderId="10" xfId="58" applyFont="1" applyFill="1" applyBorder="1" applyAlignment="1">
      <alignment horizontal="left" vertical="center"/>
      <protection/>
    </xf>
    <xf numFmtId="0" fontId="24" fillId="24" borderId="22" xfId="58" applyFont="1" applyFill="1" applyBorder="1" applyAlignment="1">
      <alignment horizontal="left" wrapText="1"/>
      <protection/>
    </xf>
    <xf numFmtId="191" fontId="24" fillId="24" borderId="10" xfId="0" applyNumberFormat="1" applyFont="1" applyFill="1" applyBorder="1" applyAlignment="1">
      <alignment horizontal="right"/>
    </xf>
    <xf numFmtId="0" fontId="24" fillId="24" borderId="11" xfId="58" applyFont="1" applyFill="1" applyBorder="1" applyAlignment="1">
      <alignment horizontal="left" vertical="center"/>
      <protection/>
    </xf>
    <xf numFmtId="0" fontId="24" fillId="24" borderId="10" xfId="0" applyFont="1" applyFill="1" applyBorder="1" applyAlignment="1">
      <alignment horizontal="left" vertical="center" wrapText="1"/>
    </xf>
    <xf numFmtId="0" fontId="24" fillId="24" borderId="21" xfId="58" applyFont="1" applyFill="1" applyBorder="1" applyAlignment="1">
      <alignment horizontal="left" vertical="center"/>
      <protection/>
    </xf>
    <xf numFmtId="0" fontId="18" fillId="24" borderId="10" xfId="58" applyFont="1" applyFill="1" applyBorder="1" applyAlignment="1">
      <alignment horizontal="left" vertical="center"/>
      <protection/>
    </xf>
    <xf numFmtId="0" fontId="18" fillId="24" borderId="22" xfId="58" applyFont="1" applyFill="1" applyBorder="1" applyAlignment="1">
      <alignment horizontal="center" vertical="center" wrapText="1"/>
      <protection/>
    </xf>
    <xf numFmtId="2" fontId="18" fillId="24" borderId="10" xfId="58" applyNumberFormat="1" applyFont="1" applyFill="1" applyBorder="1" applyAlignment="1">
      <alignment horizontal="right" vertical="center" wrapText="1"/>
      <protection/>
    </xf>
    <xf numFmtId="2" fontId="18" fillId="24" borderId="17" xfId="0" applyNumberFormat="1" applyFont="1" applyFill="1" applyBorder="1" applyAlignment="1">
      <alignment horizontal="center" vertical="center"/>
    </xf>
    <xf numFmtId="2" fontId="18" fillId="24" borderId="17" xfId="0" applyNumberFormat="1" applyFont="1" applyFill="1" applyBorder="1" applyAlignment="1">
      <alignment horizontal="center"/>
    </xf>
    <xf numFmtId="2" fontId="18" fillId="24" borderId="11" xfId="58" applyNumberFormat="1" applyFont="1" applyFill="1" applyBorder="1" applyAlignment="1">
      <alignment horizontal="right" vertical="center" wrapText="1"/>
      <protection/>
    </xf>
    <xf numFmtId="2" fontId="18" fillId="24" borderId="16" xfId="0" applyNumberFormat="1" applyFont="1" applyFill="1" applyBorder="1" applyAlignment="1">
      <alignment horizontal="center"/>
    </xf>
    <xf numFmtId="0" fontId="18" fillId="24" borderId="23" xfId="58" applyFont="1" applyFill="1" applyBorder="1" applyAlignment="1">
      <alignment horizontal="center" vertical="center" wrapText="1"/>
      <protection/>
    </xf>
    <xf numFmtId="0" fontId="18" fillId="24" borderId="11" xfId="58" applyFont="1" applyFill="1" applyBorder="1" applyAlignment="1">
      <alignment horizontal="left" vertical="center"/>
      <protection/>
    </xf>
    <xf numFmtId="0" fontId="18" fillId="24" borderId="14" xfId="58" applyFont="1" applyFill="1" applyBorder="1" applyAlignment="1">
      <alignment horizontal="center" vertical="center" wrapText="1"/>
      <protection/>
    </xf>
    <xf numFmtId="191" fontId="18" fillId="24" borderId="10" xfId="0" applyNumberFormat="1" applyFont="1" applyFill="1" applyBorder="1" applyAlignment="1">
      <alignment horizontal="right" wrapText="1"/>
    </xf>
    <xf numFmtId="2" fontId="18" fillId="24" borderId="10" xfId="58" applyNumberFormat="1" applyFont="1" applyFill="1" applyBorder="1" applyAlignment="1">
      <alignment horizontal="right" wrapText="1"/>
      <protection/>
    </xf>
    <xf numFmtId="0" fontId="48" fillId="0" borderId="10" xfId="0" applyFont="1" applyBorder="1" applyAlignment="1">
      <alignment/>
    </xf>
    <xf numFmtId="2" fontId="24" fillId="24" borderId="10" xfId="58" applyNumberFormat="1" applyFont="1" applyFill="1" applyBorder="1" applyAlignment="1">
      <alignment horizontal="right" wrapText="1"/>
      <protection/>
    </xf>
    <xf numFmtId="0" fontId="24" fillId="24" borderId="21" xfId="58" applyFont="1" applyFill="1" applyBorder="1" applyAlignment="1">
      <alignment horizontal="left" wrapText="1"/>
      <protection/>
    </xf>
    <xf numFmtId="2" fontId="24" fillId="24" borderId="21" xfId="58" applyNumberFormat="1" applyFont="1" applyFill="1" applyBorder="1" applyAlignment="1">
      <alignment horizontal="center" vertical="center" wrapText="1"/>
      <protection/>
    </xf>
    <xf numFmtId="0" fontId="24" fillId="24" borderId="10" xfId="58" applyFont="1" applyFill="1" applyBorder="1" applyAlignment="1">
      <alignment horizontal="left" vertical="center" wrapText="1"/>
      <protection/>
    </xf>
    <xf numFmtId="0" fontId="24" fillId="24" borderId="16" xfId="58" applyFont="1" applyFill="1" applyBorder="1" applyAlignment="1">
      <alignment horizontal="left" wrapText="1"/>
      <protection/>
    </xf>
    <xf numFmtId="0" fontId="24" fillId="24" borderId="20" xfId="58" applyFont="1" applyFill="1" applyBorder="1" applyAlignment="1">
      <alignment horizontal="center" wrapText="1"/>
      <protection/>
    </xf>
    <xf numFmtId="2" fontId="24" fillId="24" borderId="20" xfId="0" applyNumberFormat="1" applyFont="1" applyFill="1" applyBorder="1" applyAlignment="1">
      <alignment horizontal="center" vertical="center" wrapText="1"/>
    </xf>
    <xf numFmtId="0" fontId="52" fillId="24" borderId="24" xfId="0" applyFont="1" applyFill="1" applyBorder="1" applyAlignment="1">
      <alignment horizontal="center" vertical="center"/>
    </xf>
    <xf numFmtId="0" fontId="53" fillId="24" borderId="25" xfId="0" applyFont="1" applyFill="1" applyBorder="1" applyAlignment="1">
      <alignment horizontal="center" vertical="center"/>
    </xf>
    <xf numFmtId="0" fontId="52" fillId="24" borderId="20" xfId="58" applyFont="1" applyFill="1" applyBorder="1" applyAlignment="1">
      <alignment horizontal="center" wrapText="1"/>
      <protection/>
    </xf>
    <xf numFmtId="2" fontId="52" fillId="24" borderId="20" xfId="0" applyNumberFormat="1" applyFont="1" applyFill="1" applyBorder="1" applyAlignment="1">
      <alignment horizontal="center" wrapText="1"/>
    </xf>
    <xf numFmtId="0" fontId="19" fillId="24" borderId="10" xfId="57" applyFont="1" applyFill="1" applyBorder="1" applyAlignment="1">
      <alignment horizontal="left" vertical="center"/>
      <protection/>
    </xf>
    <xf numFmtId="0" fontId="19" fillId="24" borderId="10" xfId="57" applyFont="1" applyFill="1" applyBorder="1" applyAlignment="1">
      <alignment horizontal="left" wrapText="1"/>
      <protection/>
    </xf>
    <xf numFmtId="0" fontId="19" fillId="24" borderId="13" xfId="57" applyFont="1" applyFill="1" applyBorder="1" applyAlignment="1">
      <alignment vertical="center"/>
      <protection/>
    </xf>
    <xf numFmtId="0" fontId="19" fillId="24" borderId="10" xfId="57" applyFont="1" applyFill="1" applyBorder="1" applyAlignment="1">
      <alignment vertical="center"/>
      <protection/>
    </xf>
    <xf numFmtId="0" fontId="19" fillId="24" borderId="10" xfId="57" applyFont="1" applyFill="1" applyBorder="1" applyAlignment="1">
      <alignment/>
      <protection/>
    </xf>
    <xf numFmtId="0" fontId="52" fillId="24" borderId="10" xfId="58" applyFont="1" applyFill="1" applyBorder="1" applyAlignment="1">
      <alignment horizontal="center" wrapText="1"/>
      <protection/>
    </xf>
    <xf numFmtId="2" fontId="52" fillId="24" borderId="10" xfId="0" applyNumberFormat="1" applyFont="1" applyFill="1" applyBorder="1" applyAlignment="1">
      <alignment horizontal="center" wrapText="1"/>
    </xf>
    <xf numFmtId="0" fontId="52" fillId="24" borderId="10" xfId="57" applyFont="1" applyFill="1" applyBorder="1" applyAlignment="1">
      <alignment vertical="center"/>
      <protection/>
    </xf>
    <xf numFmtId="0" fontId="52" fillId="24" borderId="10" xfId="0" applyFont="1" applyFill="1" applyBorder="1" applyAlignment="1">
      <alignment vertical="center"/>
    </xf>
    <xf numFmtId="2" fontId="52" fillId="24" borderId="10" xfId="0" applyNumberFormat="1" applyFont="1" applyFill="1" applyBorder="1" applyAlignment="1">
      <alignment horizontal="center"/>
    </xf>
    <xf numFmtId="0" fontId="52" fillId="24" borderId="10" xfId="57" applyFont="1" applyFill="1" applyBorder="1" applyAlignment="1">
      <alignment wrapText="1"/>
      <protection/>
    </xf>
    <xf numFmtId="0" fontId="56" fillId="24" borderId="10" xfId="58" applyFont="1" applyFill="1" applyBorder="1" applyAlignment="1">
      <alignment horizontal="center" vertical="center" wrapText="1"/>
      <protection/>
    </xf>
    <xf numFmtId="0" fontId="52" fillId="24" borderId="10" xfId="0" applyFont="1" applyFill="1" applyBorder="1" applyAlignment="1">
      <alignment/>
    </xf>
    <xf numFmtId="0" fontId="19" fillId="24" borderId="10" xfId="0" applyFont="1" applyFill="1" applyBorder="1" applyAlignment="1">
      <alignment horizontal="left" vertical="center"/>
    </xf>
    <xf numFmtId="0" fontId="30" fillId="24" borderId="24" xfId="0" applyFont="1" applyFill="1" applyBorder="1" applyAlignment="1">
      <alignment horizontal="center"/>
    </xf>
    <xf numFmtId="0" fontId="30" fillId="24" borderId="25" xfId="0" applyFont="1" applyFill="1" applyBorder="1" applyAlignment="1">
      <alignment horizontal="center"/>
    </xf>
    <xf numFmtId="0" fontId="29" fillId="24" borderId="25" xfId="0" applyFont="1" applyFill="1" applyBorder="1" applyAlignment="1">
      <alignment horizontal="center"/>
    </xf>
    <xf numFmtId="2" fontId="52" fillId="25" borderId="12" xfId="58" applyNumberFormat="1" applyFont="1" applyFill="1" applyBorder="1" applyAlignment="1">
      <alignment horizontal="center" vertical="center" wrapText="1"/>
      <protection/>
    </xf>
    <xf numFmtId="0" fontId="52" fillId="25" borderId="10" xfId="58" applyFont="1" applyFill="1" applyBorder="1" applyAlignment="1">
      <alignment horizontal="center" vertical="center" wrapText="1"/>
      <protection/>
    </xf>
    <xf numFmtId="2" fontId="52" fillId="25" borderId="10" xfId="58" applyNumberFormat="1" applyFont="1" applyFill="1" applyBorder="1" applyAlignment="1">
      <alignment horizontal="center" vertical="center" wrapText="1"/>
      <protection/>
    </xf>
    <xf numFmtId="0" fontId="24" fillId="24" borderId="24" xfId="0" applyFont="1" applyFill="1" applyBorder="1" applyAlignment="1">
      <alignment horizontal="center" vertical="center"/>
    </xf>
    <xf numFmtId="0" fontId="24" fillId="24" borderId="25" xfId="0" applyFont="1" applyFill="1" applyBorder="1" applyAlignment="1">
      <alignment horizontal="center" vertical="center"/>
    </xf>
    <xf numFmtId="190" fontId="18" fillId="24" borderId="10" xfId="58" applyNumberFormat="1" applyFont="1" applyFill="1" applyBorder="1" applyAlignment="1">
      <alignment horizontal="center" vertical="center" wrapText="1"/>
      <protection/>
    </xf>
    <xf numFmtId="190" fontId="18" fillId="24" borderId="10" xfId="0" applyNumberFormat="1" applyFont="1" applyFill="1" applyBorder="1" applyAlignment="1">
      <alignment horizontal="right"/>
    </xf>
    <xf numFmtId="0" fontId="18" fillId="24" borderId="10" xfId="58" applyFont="1" applyFill="1" applyBorder="1" applyAlignment="1">
      <alignment horizontal="left" vertical="center" wrapText="1"/>
      <protection/>
    </xf>
    <xf numFmtId="0" fontId="52" fillId="25" borderId="10" xfId="58" applyFont="1" applyFill="1" applyBorder="1" applyAlignment="1">
      <alignment horizontal="left" vertical="center"/>
      <protection/>
    </xf>
    <xf numFmtId="0" fontId="24" fillId="24" borderId="0" xfId="0" applyFont="1" applyFill="1" applyAlignment="1">
      <alignment/>
    </xf>
    <xf numFmtId="0" fontId="18" fillId="0" borderId="10" xfId="58" applyFont="1" applyBorder="1" applyAlignment="1">
      <alignment horizontal="center" vertical="center" wrapText="1"/>
      <protection/>
    </xf>
    <xf numFmtId="2" fontId="18" fillId="0" borderId="10" xfId="0" applyNumberFormat="1" applyFont="1" applyBorder="1" applyAlignment="1">
      <alignment horizontal="center" vertical="center" wrapText="1"/>
    </xf>
    <xf numFmtId="0" fontId="30" fillId="24" borderId="24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vertical="center"/>
    </xf>
    <xf numFmtId="0" fontId="19" fillId="24" borderId="10" xfId="0" applyFont="1" applyFill="1" applyBorder="1" applyAlignment="1">
      <alignment wrapText="1"/>
    </xf>
    <xf numFmtId="0" fontId="19" fillId="24" borderId="10" xfId="0" applyFont="1" applyFill="1" applyBorder="1" applyAlignment="1">
      <alignment horizontal="left" vertical="center" wrapText="1"/>
    </xf>
    <xf numFmtId="0" fontId="19" fillId="24" borderId="13" xfId="0" applyFont="1" applyFill="1" applyBorder="1" applyAlignment="1">
      <alignment vertical="center"/>
    </xf>
    <xf numFmtId="0" fontId="19" fillId="24" borderId="11" xfId="0" applyFont="1" applyFill="1" applyBorder="1" applyAlignment="1">
      <alignment vertical="center"/>
    </xf>
    <xf numFmtId="0" fontId="19" fillId="24" borderId="11" xfId="0" applyFont="1" applyFill="1" applyBorder="1" applyAlignment="1">
      <alignment horizontal="left" vertical="center"/>
    </xf>
    <xf numFmtId="0" fontId="58" fillId="24" borderId="10" xfId="58" applyFont="1" applyFill="1" applyBorder="1" applyAlignment="1">
      <alignment horizontal="center" vertical="center" wrapText="1"/>
      <protection/>
    </xf>
    <xf numFmtId="0" fontId="19" fillId="24" borderId="12" xfId="0" applyFont="1" applyFill="1" applyBorder="1" applyAlignment="1">
      <alignment horizontal="left" wrapText="1"/>
    </xf>
    <xf numFmtId="49" fontId="19" fillId="24" borderId="12" xfId="58" applyNumberFormat="1" applyFont="1" applyFill="1" applyBorder="1" applyAlignment="1">
      <alignment horizontal="center" vertical="center" wrapText="1"/>
      <protection/>
    </xf>
    <xf numFmtId="49" fontId="57" fillId="24" borderId="10" xfId="58" applyNumberFormat="1" applyFont="1" applyFill="1" applyBorder="1" applyAlignment="1">
      <alignment horizontal="center" vertical="center" wrapText="1"/>
      <protection/>
    </xf>
    <xf numFmtId="0" fontId="19" fillId="24" borderId="10" xfId="58" applyFont="1" applyFill="1" applyBorder="1" applyAlignment="1">
      <alignment horizontal="left" vertical="center" wrapText="1"/>
      <protection/>
    </xf>
    <xf numFmtId="0" fontId="19" fillId="24" borderId="26" xfId="57" applyFont="1" applyFill="1" applyBorder="1" applyAlignment="1">
      <alignment wrapText="1"/>
      <protection/>
    </xf>
    <xf numFmtId="0" fontId="30" fillId="24" borderId="25" xfId="0" applyFont="1" applyFill="1" applyBorder="1" applyAlignment="1">
      <alignment horizontal="center" vertical="center"/>
    </xf>
    <xf numFmtId="0" fontId="19" fillId="24" borderId="14" xfId="58" applyFont="1" applyFill="1" applyBorder="1" applyAlignment="1">
      <alignment horizontal="center" vertical="center" wrapText="1"/>
      <protection/>
    </xf>
    <xf numFmtId="0" fontId="19" fillId="24" borderId="21" xfId="58" applyFont="1" applyFill="1" applyBorder="1" applyAlignment="1">
      <alignment horizontal="center" vertical="center" wrapText="1"/>
      <protection/>
    </xf>
    <xf numFmtId="0" fontId="19" fillId="24" borderId="21" xfId="0" applyFont="1" applyFill="1" applyBorder="1" applyAlignment="1">
      <alignment horizontal="center"/>
    </xf>
    <xf numFmtId="2" fontId="19" fillId="24" borderId="10" xfId="0" applyNumberFormat="1" applyFont="1" applyFill="1" applyBorder="1" applyAlignment="1">
      <alignment horizontal="center" wrapText="1"/>
    </xf>
    <xf numFmtId="49" fontId="52" fillId="24" borderId="10" xfId="58" applyNumberFormat="1" applyFont="1" applyFill="1" applyBorder="1" applyAlignment="1">
      <alignment horizontal="center" vertical="center" wrapText="1"/>
      <protection/>
    </xf>
    <xf numFmtId="0" fontId="24" fillId="24" borderId="10" xfId="0" applyFont="1" applyFill="1" applyBorder="1" applyAlignment="1">
      <alignment horizontal="center" vertical="center"/>
    </xf>
    <xf numFmtId="2" fontId="18" fillId="24" borderId="10" xfId="0" applyNumberFormat="1" applyFont="1" applyFill="1" applyBorder="1" applyAlignment="1">
      <alignment horizontal="center" wrapText="1"/>
    </xf>
    <xf numFmtId="49" fontId="19" fillId="24" borderId="10" xfId="58" applyNumberFormat="1" applyFont="1" applyFill="1" applyBorder="1" applyAlignment="1">
      <alignment horizontal="center" wrapText="1"/>
      <protection/>
    </xf>
    <xf numFmtId="0" fontId="19" fillId="24" borderId="10" xfId="0" applyFont="1" applyFill="1" applyBorder="1" applyAlignment="1">
      <alignment/>
    </xf>
    <xf numFmtId="49" fontId="19" fillId="24" borderId="10" xfId="0" applyNumberFormat="1" applyFont="1" applyFill="1" applyBorder="1" applyAlignment="1">
      <alignment horizontal="center"/>
    </xf>
    <xf numFmtId="2" fontId="18" fillId="24" borderId="10" xfId="58" applyNumberFormat="1" applyFont="1" applyFill="1" applyBorder="1" applyAlignment="1">
      <alignment horizontal="center" wrapText="1"/>
      <protection/>
    </xf>
    <xf numFmtId="0" fontId="18" fillId="24" borderId="10" xfId="0" applyFont="1" applyFill="1" applyBorder="1" applyAlignment="1">
      <alignment/>
    </xf>
    <xf numFmtId="0" fontId="24" fillId="24" borderId="10" xfId="58" applyFont="1" applyFill="1" applyBorder="1" applyAlignment="1">
      <alignment horizontal="center" wrapText="1"/>
      <protection/>
    </xf>
    <xf numFmtId="2" fontId="24" fillId="24" borderId="10" xfId="0" applyNumberFormat="1" applyFont="1" applyFill="1" applyBorder="1" applyAlignment="1">
      <alignment horizontal="center" wrapText="1"/>
    </xf>
    <xf numFmtId="2" fontId="24" fillId="24" borderId="10" xfId="58" applyNumberFormat="1" applyFont="1" applyFill="1" applyBorder="1" applyAlignment="1">
      <alignment horizontal="center" wrapText="1"/>
      <protection/>
    </xf>
    <xf numFmtId="0" fontId="56" fillId="24" borderId="10" xfId="0" applyFont="1" applyFill="1" applyBorder="1" applyAlignment="1">
      <alignment vertical="center"/>
    </xf>
    <xf numFmtId="2" fontId="56" fillId="24" borderId="10" xfId="58" applyNumberFormat="1" applyFont="1" applyFill="1" applyBorder="1" applyAlignment="1">
      <alignment horizontal="center" vertical="center" wrapText="1"/>
      <protection/>
    </xf>
    <xf numFmtId="0" fontId="24" fillId="24" borderId="10" xfId="0" applyFont="1" applyFill="1" applyBorder="1" applyAlignment="1">
      <alignment/>
    </xf>
    <xf numFmtId="49" fontId="24" fillId="24" borderId="10" xfId="0" applyNumberFormat="1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18" fillId="24" borderId="18" xfId="58" applyFont="1" applyFill="1" applyBorder="1" applyAlignment="1">
      <alignment horizontal="center" vertical="center" wrapText="1"/>
      <protection/>
    </xf>
    <xf numFmtId="0" fontId="18" fillId="24" borderId="20" xfId="58" applyFont="1" applyFill="1" applyBorder="1" applyAlignment="1">
      <alignment horizontal="center" vertical="center" wrapText="1"/>
      <protection/>
    </xf>
    <xf numFmtId="2" fontId="18" fillId="24" borderId="20" xfId="0" applyNumberFormat="1" applyFont="1" applyFill="1" applyBorder="1" applyAlignment="1">
      <alignment horizontal="center" vertical="center" wrapText="1"/>
    </xf>
    <xf numFmtId="190" fontId="18" fillId="24" borderId="10" xfId="0" applyNumberFormat="1" applyFont="1" applyFill="1" applyBorder="1" applyAlignment="1">
      <alignment horizontal="right" vertical="center"/>
    </xf>
    <xf numFmtId="0" fontId="24" fillId="24" borderId="0" xfId="0" applyFont="1" applyFill="1" applyAlignment="1">
      <alignment horizontal="center"/>
    </xf>
    <xf numFmtId="190" fontId="18" fillId="24" borderId="10" xfId="58" applyNumberFormat="1" applyFont="1" applyFill="1" applyBorder="1" applyAlignment="1">
      <alignment horizontal="center" wrapText="1"/>
      <protection/>
    </xf>
    <xf numFmtId="0" fontId="18" fillId="24" borderId="10" xfId="57" applyFont="1" applyFill="1" applyBorder="1" applyAlignment="1">
      <alignment wrapText="1"/>
      <protection/>
    </xf>
    <xf numFmtId="2" fontId="18" fillId="24" borderId="10" xfId="0" applyNumberFormat="1" applyFont="1" applyFill="1" applyBorder="1" applyAlignment="1">
      <alignment horizontal="center" vertical="center" wrapText="1"/>
    </xf>
    <xf numFmtId="0" fontId="18" fillId="24" borderId="10" xfId="57" applyFont="1" applyFill="1" applyBorder="1" applyAlignment="1">
      <alignment vertical="center" wrapText="1"/>
      <protection/>
    </xf>
    <xf numFmtId="2" fontId="18" fillId="0" borderId="10" xfId="58" applyNumberFormat="1" applyFont="1" applyFill="1" applyBorder="1" applyAlignment="1">
      <alignment horizontal="right" wrapText="1"/>
      <protection/>
    </xf>
    <xf numFmtId="0" fontId="18" fillId="24" borderId="10" xfId="0" applyFont="1" applyFill="1" applyBorder="1" applyAlignment="1">
      <alignment horizontal="center"/>
    </xf>
    <xf numFmtId="0" fontId="59" fillId="24" borderId="10" xfId="0" applyFont="1" applyFill="1" applyBorder="1" applyAlignment="1">
      <alignment horizontal="center" vertical="center"/>
    </xf>
    <xf numFmtId="0" fontId="56" fillId="24" borderId="10" xfId="0" applyFont="1" applyFill="1" applyBorder="1" applyAlignment="1">
      <alignment wrapText="1"/>
    </xf>
    <xf numFmtId="0" fontId="50" fillId="24" borderId="10" xfId="58" applyFont="1" applyFill="1" applyBorder="1" applyAlignment="1">
      <alignment horizontal="center" wrapText="1"/>
      <protection/>
    </xf>
    <xf numFmtId="2" fontId="50" fillId="24" borderId="10" xfId="0" applyNumberFormat="1" applyFont="1" applyFill="1" applyBorder="1" applyAlignment="1">
      <alignment horizontal="center" wrapText="1"/>
    </xf>
    <xf numFmtId="0" fontId="56" fillId="24" borderId="10" xfId="0" applyFont="1" applyFill="1" applyBorder="1" applyAlignment="1">
      <alignment horizontal="center" vertical="center"/>
    </xf>
    <xf numFmtId="0" fontId="56" fillId="24" borderId="10" xfId="58" applyFont="1" applyFill="1" applyBorder="1" applyAlignment="1">
      <alignment horizontal="center" wrapText="1"/>
      <protection/>
    </xf>
    <xf numFmtId="2" fontId="56" fillId="24" borderId="10" xfId="0" applyNumberFormat="1" applyFont="1" applyFill="1" applyBorder="1" applyAlignment="1">
      <alignment horizontal="center" wrapText="1"/>
    </xf>
    <xf numFmtId="2" fontId="56" fillId="24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vertical="center"/>
    </xf>
    <xf numFmtId="0" fontId="60" fillId="24" borderId="10" xfId="58" applyFont="1" applyFill="1" applyBorder="1" applyAlignment="1">
      <alignment horizontal="center" vertical="center" wrapText="1"/>
      <protection/>
    </xf>
    <xf numFmtId="0" fontId="56" fillId="24" borderId="10" xfId="0" applyFont="1" applyFill="1" applyBorder="1" applyAlignment="1">
      <alignment horizontal="left" vertical="center"/>
    </xf>
    <xf numFmtId="0" fontId="56" fillId="25" borderId="10" xfId="58" applyFont="1" applyFill="1" applyBorder="1" applyAlignment="1">
      <alignment horizontal="left" vertical="center" wrapText="1"/>
      <protection/>
    </xf>
    <xf numFmtId="0" fontId="56" fillId="25" borderId="10" xfId="58" applyFont="1" applyFill="1" applyBorder="1" applyAlignment="1">
      <alignment horizontal="center" vertical="center" wrapText="1"/>
      <protection/>
    </xf>
    <xf numFmtId="2" fontId="56" fillId="25" borderId="10" xfId="58" applyNumberFormat="1" applyFont="1" applyFill="1" applyBorder="1" applyAlignment="1">
      <alignment horizontal="center" vertical="center" wrapText="1"/>
      <protection/>
    </xf>
    <xf numFmtId="0" fontId="24" fillId="24" borderId="10" xfId="57" applyFont="1" applyFill="1" applyBorder="1" applyAlignment="1">
      <alignment vertical="center"/>
      <protection/>
    </xf>
    <xf numFmtId="0" fontId="24" fillId="0" borderId="10" xfId="58" applyFont="1" applyBorder="1" applyAlignment="1">
      <alignment horizontal="center" vertical="center" wrapText="1"/>
      <protection/>
    </xf>
    <xf numFmtId="2" fontId="24" fillId="0" borderId="10" xfId="0" applyNumberFormat="1" applyFont="1" applyBorder="1" applyAlignment="1">
      <alignment horizontal="center" vertical="center" wrapText="1"/>
    </xf>
    <xf numFmtId="0" fontId="19" fillId="24" borderId="24" xfId="0" applyFont="1" applyFill="1" applyBorder="1" applyAlignment="1">
      <alignment horizontal="center" vertical="center"/>
    </xf>
    <xf numFmtId="0" fontId="0" fillId="24" borderId="25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24" fillId="24" borderId="10" xfId="0" applyFont="1" applyFill="1" applyBorder="1" applyAlignment="1">
      <alignment horizontal="left" vertical="center"/>
    </xf>
    <xf numFmtId="0" fontId="24" fillId="24" borderId="10" xfId="0" applyNumberFormat="1" applyFont="1" applyFill="1" applyBorder="1" applyAlignment="1">
      <alignment horizontal="center"/>
    </xf>
    <xf numFmtId="0" fontId="0" fillId="24" borderId="0" xfId="0" applyFill="1" applyAlignment="1">
      <alignment/>
    </xf>
    <xf numFmtId="188" fontId="24" fillId="24" borderId="10" xfId="50" applyNumberFormat="1" applyFont="1" applyFill="1" applyBorder="1" applyAlignment="1">
      <alignment wrapText="1"/>
      <protection/>
    </xf>
    <xf numFmtId="188" fontId="24" fillId="24" borderId="10" xfId="50" applyNumberFormat="1" applyFont="1" applyFill="1" applyBorder="1" applyAlignment="1">
      <alignment vertical="center"/>
      <protection/>
    </xf>
    <xf numFmtId="0" fontId="61" fillId="24" borderId="24" xfId="0" applyFont="1" applyFill="1" applyBorder="1" applyAlignment="1">
      <alignment horizontal="center" vertical="center"/>
    </xf>
    <xf numFmtId="0" fontId="61" fillId="24" borderId="25" xfId="0" applyFont="1" applyFill="1" applyBorder="1" applyAlignment="1">
      <alignment horizontal="center" vertical="center"/>
    </xf>
    <xf numFmtId="0" fontId="52" fillId="24" borderId="0" xfId="0" applyFont="1" applyFill="1" applyBorder="1" applyAlignment="1">
      <alignment horizontal="center"/>
    </xf>
    <xf numFmtId="0" fontId="52" fillId="24" borderId="10" xfId="57" applyFont="1" applyFill="1" applyBorder="1" applyAlignment="1">
      <alignment vertical="center" wrapText="1"/>
      <protection/>
    </xf>
    <xf numFmtId="0" fontId="52" fillId="24" borderId="10" xfId="58" applyFont="1" applyFill="1" applyBorder="1" applyAlignment="1">
      <alignment horizontal="left" vertical="center" wrapText="1"/>
      <protection/>
    </xf>
    <xf numFmtId="0" fontId="56" fillId="24" borderId="24" xfId="0" applyFont="1" applyFill="1" applyBorder="1" applyAlignment="1">
      <alignment horizontal="center" vertical="center"/>
    </xf>
    <xf numFmtId="0" fontId="52" fillId="24" borderId="18" xfId="58" applyFont="1" applyFill="1" applyBorder="1" applyAlignment="1">
      <alignment horizontal="center" wrapText="1"/>
      <protection/>
    </xf>
    <xf numFmtId="0" fontId="19" fillId="25" borderId="10" xfId="58" applyFont="1" applyFill="1" applyBorder="1" applyAlignment="1">
      <alignment horizontal="left" vertical="center"/>
      <protection/>
    </xf>
    <xf numFmtId="2" fontId="19" fillId="25" borderId="10" xfId="58" applyNumberFormat="1" applyFont="1" applyFill="1" applyBorder="1" applyAlignment="1">
      <alignment horizontal="center" vertical="center" wrapText="1"/>
      <protection/>
    </xf>
    <xf numFmtId="2" fontId="19" fillId="25" borderId="10" xfId="0" applyNumberFormat="1" applyFont="1" applyFill="1" applyBorder="1" applyAlignment="1">
      <alignment horizontal="center" vertical="center"/>
    </xf>
    <xf numFmtId="0" fontId="19" fillId="24" borderId="10" xfId="58" applyFont="1" applyFill="1" applyBorder="1" applyAlignment="1">
      <alignment horizontal="center" vertical="center"/>
      <protection/>
    </xf>
    <xf numFmtId="0" fontId="52" fillId="24" borderId="14" xfId="58" applyFont="1" applyFill="1" applyBorder="1" applyAlignment="1">
      <alignment horizontal="center" wrapText="1"/>
      <protection/>
    </xf>
    <xf numFmtId="0" fontId="19" fillId="24" borderId="21" xfId="58" applyFont="1" applyFill="1" applyBorder="1" applyAlignment="1">
      <alignment horizontal="center" wrapText="1"/>
      <protection/>
    </xf>
    <xf numFmtId="0" fontId="52" fillId="24" borderId="0" xfId="58" applyFont="1" applyFill="1" applyBorder="1" applyAlignment="1">
      <alignment horizontal="center" vertical="center" wrapText="1"/>
      <protection/>
    </xf>
    <xf numFmtId="0" fontId="62" fillId="24" borderId="25" xfId="0" applyFont="1" applyFill="1" applyBorder="1" applyAlignment="1">
      <alignment horizontal="center" vertical="center"/>
    </xf>
    <xf numFmtId="0" fontId="56" fillId="24" borderId="25" xfId="0" applyFont="1" applyFill="1" applyBorder="1" applyAlignment="1">
      <alignment horizontal="center" vertical="center"/>
    </xf>
    <xf numFmtId="0" fontId="18" fillId="24" borderId="10" xfId="58" applyFont="1" applyFill="1" applyBorder="1" applyAlignment="1">
      <alignment horizontal="center" vertical="center" textRotation="90" wrapText="1"/>
      <protection/>
    </xf>
    <xf numFmtId="0" fontId="18" fillId="25" borderId="10" xfId="58" applyFont="1" applyFill="1" applyBorder="1" applyAlignment="1">
      <alignment horizontal="center" vertical="center"/>
      <protection/>
    </xf>
    <xf numFmtId="2" fontId="18" fillId="24" borderId="10" xfId="0" applyNumberFormat="1" applyFont="1" applyFill="1" applyBorder="1" applyAlignment="1">
      <alignment horizontal="right"/>
    </xf>
    <xf numFmtId="190" fontId="19" fillId="24" borderId="10" xfId="58" applyNumberFormat="1" applyFont="1" applyFill="1" applyBorder="1" applyAlignment="1">
      <alignment horizontal="center" vertical="center" wrapText="1"/>
      <protection/>
    </xf>
    <xf numFmtId="0" fontId="56" fillId="0" borderId="10" xfId="0" applyFont="1" applyBorder="1" applyAlignment="1">
      <alignment/>
    </xf>
    <xf numFmtId="0" fontId="18" fillId="24" borderId="10" xfId="58" applyFont="1" applyFill="1" applyBorder="1" applyAlignment="1">
      <alignment horizontal="right" wrapText="1"/>
      <protection/>
    </xf>
    <xf numFmtId="0" fontId="18" fillId="24" borderId="10" xfId="0" applyFont="1" applyFill="1" applyBorder="1" applyAlignment="1">
      <alignment horizontal="right"/>
    </xf>
    <xf numFmtId="0" fontId="56" fillId="24" borderId="10" xfId="0" applyFont="1" applyFill="1" applyBorder="1" applyAlignment="1">
      <alignment/>
    </xf>
    <xf numFmtId="0" fontId="18" fillId="24" borderId="11" xfId="57" applyFont="1" applyFill="1" applyBorder="1" applyAlignment="1">
      <alignment wrapText="1"/>
      <protection/>
    </xf>
    <xf numFmtId="190" fontId="18" fillId="24" borderId="10" xfId="0" applyNumberFormat="1" applyFont="1" applyFill="1" applyBorder="1" applyAlignment="1">
      <alignment horizontal="center" vertical="center"/>
    </xf>
    <xf numFmtId="0" fontId="18" fillId="24" borderId="10" xfId="57" applyFont="1" applyFill="1" applyBorder="1" applyAlignment="1">
      <alignment horizontal="left"/>
      <protection/>
    </xf>
    <xf numFmtId="188" fontId="18" fillId="24" borderId="10" xfId="50" applyNumberFormat="1" applyFont="1" applyFill="1" applyBorder="1" applyAlignment="1">
      <alignment wrapText="1"/>
      <protection/>
    </xf>
    <xf numFmtId="0" fontId="19" fillId="24" borderId="25" xfId="0" applyFont="1" applyFill="1" applyBorder="1" applyAlignment="1">
      <alignment horizontal="center" vertical="center"/>
    </xf>
    <xf numFmtId="190" fontId="18" fillId="24" borderId="11" xfId="58" applyNumberFormat="1" applyFont="1" applyFill="1" applyBorder="1" applyAlignment="1">
      <alignment horizontal="center" vertical="center"/>
      <protection/>
    </xf>
    <xf numFmtId="0" fontId="52" fillId="24" borderId="10" xfId="58" applyFont="1" applyFill="1" applyBorder="1" applyAlignment="1">
      <alignment horizontal="center" vertical="center" wrapText="1"/>
      <protection/>
    </xf>
    <xf numFmtId="0" fontId="0" fillId="24" borderId="10" xfId="0" applyFont="1" applyFill="1" applyBorder="1" applyAlignment="1">
      <alignment horizontal="center" vertical="center"/>
    </xf>
    <xf numFmtId="0" fontId="19" fillId="24" borderId="10" xfId="58" applyFont="1" applyFill="1" applyBorder="1" applyAlignment="1">
      <alignment horizontal="center" vertical="center" wrapText="1"/>
      <protection/>
    </xf>
    <xf numFmtId="0" fontId="0" fillId="24" borderId="10" xfId="0" applyFont="1" applyFill="1" applyBorder="1" applyAlignment="1">
      <alignment horizontal="center" vertical="center" wrapText="1"/>
    </xf>
    <xf numFmtId="190" fontId="18" fillId="24" borderId="10" xfId="58" applyNumberFormat="1" applyFont="1" applyFill="1" applyBorder="1" applyAlignment="1">
      <alignment horizontal="center" vertical="center" wrapText="1"/>
      <protection/>
    </xf>
    <xf numFmtId="0" fontId="18" fillId="24" borderId="10" xfId="58" applyFont="1" applyFill="1" applyBorder="1" applyAlignment="1">
      <alignment horizontal="left" vertical="center" wrapText="1"/>
      <protection/>
    </xf>
    <xf numFmtId="0" fontId="0" fillId="24" borderId="10" xfId="0" applyFont="1" applyFill="1" applyBorder="1" applyAlignment="1">
      <alignment wrapText="1"/>
    </xf>
    <xf numFmtId="0" fontId="56" fillId="24" borderId="10" xfId="0" applyFont="1" applyFill="1" applyBorder="1" applyAlignment="1">
      <alignment vertical="center" wrapText="1"/>
    </xf>
    <xf numFmtId="0" fontId="27" fillId="24" borderId="10" xfId="0" applyFont="1" applyFill="1" applyBorder="1" applyAlignment="1">
      <alignment vertical="center" wrapText="1"/>
    </xf>
    <xf numFmtId="0" fontId="56" fillId="24" borderId="10" xfId="58" applyFont="1" applyFill="1" applyBorder="1" applyAlignment="1">
      <alignment horizontal="center" vertical="center" wrapText="1"/>
      <protection/>
    </xf>
    <xf numFmtId="0" fontId="27" fillId="24" borderId="10" xfId="0" applyFont="1" applyFill="1" applyBorder="1" applyAlignment="1">
      <alignment horizontal="center" vertical="center"/>
    </xf>
    <xf numFmtId="0" fontId="52" fillId="24" borderId="10" xfId="57" applyFont="1" applyFill="1" applyBorder="1" applyAlignment="1">
      <alignment vertical="center" wrapText="1"/>
      <protection/>
    </xf>
    <xf numFmtId="0" fontId="0" fillId="24" borderId="10" xfId="0" applyFont="1" applyFill="1" applyBorder="1" applyAlignment="1">
      <alignment vertical="center" wrapText="1"/>
    </xf>
    <xf numFmtId="0" fontId="59" fillId="24" borderId="27" xfId="58" applyFont="1" applyFill="1" applyBorder="1" applyAlignment="1">
      <alignment horizontal="center" vertical="center" wrapText="1"/>
      <protection/>
    </xf>
    <xf numFmtId="0" fontId="25" fillId="24" borderId="27" xfId="0" applyFont="1" applyFill="1" applyBorder="1" applyAlignment="1">
      <alignment horizontal="center"/>
    </xf>
    <xf numFmtId="0" fontId="61" fillId="24" borderId="10" xfId="58" applyFont="1" applyFill="1" applyBorder="1" applyAlignment="1">
      <alignment horizontal="center" vertical="center" wrapText="1"/>
      <protection/>
    </xf>
    <xf numFmtId="0" fontId="28" fillId="24" borderId="10" xfId="0" applyFont="1" applyFill="1" applyBorder="1" applyAlignment="1">
      <alignment horizontal="center" vertical="center"/>
    </xf>
    <xf numFmtId="0" fontId="59" fillId="24" borderId="10" xfId="58" applyFont="1" applyFill="1" applyBorder="1" applyAlignment="1">
      <alignment horizontal="center" vertical="center" wrapText="1"/>
      <protection/>
    </xf>
    <xf numFmtId="0" fontId="25" fillId="24" borderId="10" xfId="0" applyFont="1" applyFill="1" applyBorder="1" applyAlignment="1">
      <alignment horizont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Звичайний_Додаток _ 3 зм_ни 4575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_Додатки благоустрій" xfId="57"/>
    <cellStyle name="Обычный_Річний план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tabColor rgb="FFC00000"/>
    <pageSetUpPr fitToPage="1"/>
  </sheetPr>
  <dimension ref="A1:E58"/>
  <sheetViews>
    <sheetView tabSelected="1" zoomScaleSheetLayoutView="110" zoomScalePageLayoutView="0" workbookViewId="0" topLeftCell="A1">
      <selection activeCell="A4" sqref="A4"/>
    </sheetView>
  </sheetViews>
  <sheetFormatPr defaultColWidth="9.140625" defaultRowHeight="12.75"/>
  <cols>
    <col min="1" max="1" width="115.7109375" style="19" customWidth="1"/>
    <col min="2" max="2" width="24.00390625" style="3" customWidth="1"/>
    <col min="3" max="3" width="12.8515625" style="3" customWidth="1"/>
    <col min="4" max="4" width="11.8515625" style="3" customWidth="1"/>
  </cols>
  <sheetData>
    <row r="1" spans="1:4" s="4" customFormat="1" ht="21.75" customHeight="1">
      <c r="A1" s="211" t="s">
        <v>438</v>
      </c>
      <c r="B1" s="212"/>
      <c r="C1" s="213"/>
      <c r="D1" s="213"/>
    </row>
    <row r="2" spans="1:4" s="7" customFormat="1" ht="33" customHeight="1">
      <c r="A2" s="122" t="s">
        <v>37</v>
      </c>
      <c r="B2" s="191" t="s">
        <v>3</v>
      </c>
      <c r="C2" s="136" t="s">
        <v>4</v>
      </c>
      <c r="D2" s="192" t="s">
        <v>1</v>
      </c>
    </row>
    <row r="3" spans="1:4" s="7" customFormat="1" ht="12.75">
      <c r="A3" s="129">
        <v>1</v>
      </c>
      <c r="B3" s="127">
        <v>3</v>
      </c>
      <c r="C3" s="127">
        <v>6</v>
      </c>
      <c r="D3" s="130">
        <v>9</v>
      </c>
    </row>
    <row r="4" spans="1:4" s="7" customFormat="1" ht="26.25" customHeight="1">
      <c r="A4" s="168" t="s">
        <v>6</v>
      </c>
      <c r="B4" s="113"/>
      <c r="C4" s="169">
        <f>C53</f>
        <v>47945626.330000006</v>
      </c>
      <c r="D4" s="169">
        <f>D53</f>
        <v>47945626.330000006</v>
      </c>
    </row>
    <row r="5" spans="1:4" s="7" customFormat="1" ht="21.75" customHeight="1">
      <c r="A5" s="167" t="s">
        <v>439</v>
      </c>
      <c r="B5" s="166" t="s">
        <v>41</v>
      </c>
      <c r="C5" s="131">
        <f>71129.3+118907.24+119763.46+294226.84+308678.13+267064.01+336105.17+331899.44+176976.41</f>
        <v>2024749.9999999998</v>
      </c>
      <c r="D5" s="132">
        <f>71129.3+118907.24+119763.46+294226.84+308678.13+267064.01+336105.17+331899.44+176976.41</f>
        <v>2024749.9999999998</v>
      </c>
    </row>
    <row r="6" spans="1:4" s="7" customFormat="1" ht="19.5" customHeight="1">
      <c r="A6" s="167" t="s">
        <v>439</v>
      </c>
      <c r="B6" s="166" t="s">
        <v>254</v>
      </c>
      <c r="C6" s="131">
        <f>20950.47+94339.03+93940.92+82353.56+82353.56+79272.45</f>
        <v>453209.99</v>
      </c>
      <c r="D6" s="133">
        <f>20950.47+94339.03+93940.92+82353.56+82353.56+79272.45</f>
        <v>453209.99</v>
      </c>
    </row>
    <row r="7" spans="1:4" s="7" customFormat="1" ht="17.25" customHeight="1">
      <c r="A7" s="173" t="s">
        <v>439</v>
      </c>
      <c r="B7" s="174" t="s">
        <v>44</v>
      </c>
      <c r="C7" s="175">
        <f>36082.2+28725.83+27191.88+26749.01+69105.49+80894.52+80690.09+82571.64+95377.56</f>
        <v>527388.22</v>
      </c>
      <c r="D7" s="176">
        <f>36082.2+28725.83+27191.88+26749.01+69105.49+80894.52+80690.09+82571.64+95377.56</f>
        <v>527388.22</v>
      </c>
    </row>
    <row r="8" spans="1:4" s="7" customFormat="1" ht="24.75" customHeight="1">
      <c r="A8" s="173" t="s">
        <v>439</v>
      </c>
      <c r="B8" s="174" t="s">
        <v>46</v>
      </c>
      <c r="C8" s="175">
        <f>47757.1+36115.84+36326.86+36050.21+56123.75+60616.44+54028.74+55491.01+56932.27</f>
        <v>439442.22000000003</v>
      </c>
      <c r="D8" s="176">
        <f>47757.1+36115.84+36326.86+36050.21+56123.75+60616.44+54028.74+55491.01+56932.27</f>
        <v>439442.22000000003</v>
      </c>
    </row>
    <row r="9" spans="1:4" s="7" customFormat="1" ht="18" customHeight="1">
      <c r="A9" s="173" t="s">
        <v>439</v>
      </c>
      <c r="B9" s="174" t="s">
        <v>48</v>
      </c>
      <c r="C9" s="175">
        <f>167783+137855+34360</f>
        <v>339998</v>
      </c>
      <c r="D9" s="177">
        <f>167783+137855+34360</f>
        <v>339998</v>
      </c>
    </row>
    <row r="10" spans="1:4" s="7" customFormat="1" ht="18" customHeight="1">
      <c r="A10" s="173" t="s">
        <v>439</v>
      </c>
      <c r="B10" s="174" t="s">
        <v>49</v>
      </c>
      <c r="C10" s="178">
        <f>44909.76+43705.62+43182.07</f>
        <v>131797.45</v>
      </c>
      <c r="D10" s="179">
        <f>44909.76+43705.62+43182.07</f>
        <v>131797.45</v>
      </c>
    </row>
    <row r="11" spans="1:4" s="7" customFormat="1" ht="18" customHeight="1">
      <c r="A11" s="173" t="s">
        <v>439</v>
      </c>
      <c r="B11" s="180" t="s">
        <v>51</v>
      </c>
      <c r="C11" s="178">
        <f>29657+1303160+165204+270898+333553+821039+369384+443546+1047596+930030+431849+488087+276190+376231+93463.2+46628+426309+1530204+23734</f>
        <v>9406762.2</v>
      </c>
      <c r="D11" s="178">
        <f>29657+1303160+165204+270898+333553+821039+369384+443546+1047596+930030+431849+488087+276190+376231+93463.2+46628+426309+1530204+23734</f>
        <v>9406762.2</v>
      </c>
    </row>
    <row r="12" spans="1:4" s="7" customFormat="1" ht="18" customHeight="1">
      <c r="A12" s="173" t="s">
        <v>439</v>
      </c>
      <c r="B12" s="180" t="s">
        <v>251</v>
      </c>
      <c r="C12" s="178">
        <f>73068.48+106594.83+73252.11+72155.15+63090.61+66265.85+72425.76+55569.18+56378.03</f>
        <v>638800</v>
      </c>
      <c r="D12" s="179">
        <f>73068.48+106594.83+73252.11+72155.15+63090.61+66265.85+72425.76+55569.18+56378.03</f>
        <v>638800</v>
      </c>
    </row>
    <row r="13" spans="1:4" s="7" customFormat="1" ht="18" customHeight="1">
      <c r="A13" s="173" t="s">
        <v>439</v>
      </c>
      <c r="B13" s="180" t="s">
        <v>253</v>
      </c>
      <c r="C13" s="178">
        <f>170217+191867+150103+356753+339911+346709+150441</f>
        <v>1706001</v>
      </c>
      <c r="D13" s="179">
        <f>170217+191867+150103+356753+339911+346709+150441</f>
        <v>1706001</v>
      </c>
    </row>
    <row r="14" spans="1:4" s="7" customFormat="1" ht="18" customHeight="1">
      <c r="A14" s="181" t="s">
        <v>439</v>
      </c>
      <c r="B14" s="182" t="s">
        <v>42</v>
      </c>
      <c r="C14" s="178">
        <f>418840+411370.23+197809.77+264542.29+819336.02+838331.67+80000+865931.62+1013722.86+732134.89</f>
        <v>5642019.35</v>
      </c>
      <c r="D14" s="179">
        <f>418840+411370.23+197809.77+264542.29+819336.02+838331.67+80000+865931.62+1013722.86+732134.89</f>
        <v>5642019.35</v>
      </c>
    </row>
    <row r="15" spans="1:4" s="8" customFormat="1" ht="16.5" customHeight="1">
      <c r="A15" s="101" t="s">
        <v>58</v>
      </c>
      <c r="B15" s="56"/>
      <c r="C15" s="183">
        <f>C5+C6+C7+C8+C9+C10+C11+C12+C13+C14</f>
        <v>21310168.43</v>
      </c>
      <c r="D15" s="183">
        <f>D5+D6+D7+D8+D9+D10+D11+D12+D13+D14</f>
        <v>21310168.43</v>
      </c>
    </row>
    <row r="16" spans="1:4" s="8" customFormat="1" ht="15" customHeight="1">
      <c r="A16" s="173" t="s">
        <v>440</v>
      </c>
      <c r="B16" s="56" t="s">
        <v>42</v>
      </c>
      <c r="C16" s="175">
        <f>11500+62292+426350.83+495026.72+229219.85+198930.41+195000+199500</f>
        <v>1817819.81</v>
      </c>
      <c r="D16" s="81">
        <f>11500+62292+426350.83+495026.72+229219.85+198930.41+195000+199500</f>
        <v>1817819.81</v>
      </c>
    </row>
    <row r="17" spans="1:4" s="8" customFormat="1" ht="15.75" customHeight="1">
      <c r="A17" s="173" t="s">
        <v>440</v>
      </c>
      <c r="B17" s="56" t="s">
        <v>45</v>
      </c>
      <c r="C17" s="175">
        <v>24280</v>
      </c>
      <c r="D17" s="81">
        <v>24280</v>
      </c>
    </row>
    <row r="18" spans="1:4" s="8" customFormat="1" ht="21.75" customHeight="1">
      <c r="A18" s="173" t="s">
        <v>440</v>
      </c>
      <c r="B18" s="56" t="s">
        <v>51</v>
      </c>
      <c r="C18" s="175">
        <f>26156+45107</f>
        <v>71263</v>
      </c>
      <c r="D18" s="81">
        <f>26156+45107</f>
        <v>71263</v>
      </c>
    </row>
    <row r="19" spans="1:4" s="8" customFormat="1" ht="14.25" customHeight="1">
      <c r="A19" s="101" t="s">
        <v>58</v>
      </c>
      <c r="B19" s="56"/>
      <c r="C19" s="184">
        <f>C16+C17+C18</f>
        <v>1913362.81</v>
      </c>
      <c r="D19" s="184">
        <f>D16+D17+D18</f>
        <v>1913362.81</v>
      </c>
    </row>
    <row r="20" spans="1:4" s="6" customFormat="1" ht="21.75" customHeight="1">
      <c r="A20" s="167" t="s">
        <v>441</v>
      </c>
      <c r="B20" s="76" t="s">
        <v>50</v>
      </c>
      <c r="C20" s="134">
        <f>582568.89+406894.71+591278.6+321514.62+501530.42+271121.68+375920.74+294904.95+138718.14+141029.16+74228.69+199800</f>
        <v>3899510.6000000006</v>
      </c>
      <c r="D20" s="134">
        <f>582568.89+406894.71+591278.6+321514.62+501530.42+271121.68+375920.74+294904.95+138718.14+141029.16+74228.69+199800</f>
        <v>3899510.6000000006</v>
      </c>
    </row>
    <row r="21" spans="1:4" s="6" customFormat="1" ht="19.5" customHeight="1">
      <c r="A21" s="167" t="s">
        <v>441</v>
      </c>
      <c r="B21" s="76" t="s">
        <v>273</v>
      </c>
      <c r="C21" s="134">
        <f>269326.4+252591+310676.55+154782.95+544542.66+236637.24+373515.48+122436.3+268894.25+255560.21+455145.6+81012.75+208134.01</f>
        <v>3533255.4000000004</v>
      </c>
      <c r="D21" s="134">
        <f>269326.4+252591+310676.55+154782.95+544542.66+236637.24+373515.48+122436.3+268894.25+255560.21+455145.6+81012.75+208134.01</f>
        <v>3533255.4000000004</v>
      </c>
    </row>
    <row r="22" spans="1:4" s="6" customFormat="1" ht="19.5" customHeight="1">
      <c r="A22" s="167" t="s">
        <v>441</v>
      </c>
      <c r="B22" s="76" t="s">
        <v>42</v>
      </c>
      <c r="C22" s="134">
        <f>42286.44+53757.54+210411.36+216543.79</f>
        <v>522999.13</v>
      </c>
      <c r="D22" s="134">
        <f>42286.44+53757.54+210411.36+216543.79</f>
        <v>522999.13</v>
      </c>
    </row>
    <row r="23" spans="1:4" s="6" customFormat="1" ht="18.75" customHeight="1">
      <c r="A23" s="167" t="s">
        <v>441</v>
      </c>
      <c r="B23" s="76" t="s">
        <v>250</v>
      </c>
      <c r="C23" s="134">
        <f>66112.5+97487.24+97487.25+63186.76+4421.24</f>
        <v>328694.99</v>
      </c>
      <c r="D23" s="134">
        <f>66112.5+97487.24+97487.25+63186.76+4421.24</f>
        <v>328694.99</v>
      </c>
    </row>
    <row r="24" spans="1:4" s="6" customFormat="1" ht="17.25" customHeight="1">
      <c r="A24" s="167" t="s">
        <v>441</v>
      </c>
      <c r="B24" s="76" t="s">
        <v>252</v>
      </c>
      <c r="C24" s="134">
        <f>26941.21+30704.35+30842.85+34311.05+22641.38</f>
        <v>145440.84</v>
      </c>
      <c r="D24" s="134">
        <f>26941.21+30704.35+30842.85+34311.05+22641.38</f>
        <v>145440.84</v>
      </c>
    </row>
    <row r="25" spans="1:4" s="6" customFormat="1" ht="21" customHeight="1">
      <c r="A25" s="167" t="s">
        <v>441</v>
      </c>
      <c r="B25" s="76" t="s">
        <v>45</v>
      </c>
      <c r="C25" s="134">
        <f>53572+57280+68963+108435+82995+28625</f>
        <v>399870</v>
      </c>
      <c r="D25" s="134">
        <f>53572+57280+68963+108435+82995+28625</f>
        <v>399870</v>
      </c>
    </row>
    <row r="26" spans="1:4" s="6" customFormat="1" ht="21" customHeight="1">
      <c r="A26" s="167" t="s">
        <v>441</v>
      </c>
      <c r="B26" s="76" t="s">
        <v>46</v>
      </c>
      <c r="C26" s="134">
        <f>26070.7+30004.65+20968.37+2478.14+2478.14</f>
        <v>82000</v>
      </c>
      <c r="D26" s="134">
        <f>26070.7+30004.65+20968.37+2478.14+2478.14</f>
        <v>82000</v>
      </c>
    </row>
    <row r="27" spans="1:4" s="6" customFormat="1" ht="21" customHeight="1">
      <c r="A27" s="167" t="s">
        <v>441</v>
      </c>
      <c r="B27" s="76" t="s">
        <v>251</v>
      </c>
      <c r="C27" s="134">
        <f>31627.75+37950.72+31400.91+34180.83+28347.06+6487.73</f>
        <v>169995.00000000003</v>
      </c>
      <c r="D27" s="134">
        <f>31627.75+37950.72+31400.91+34180.83+28347.06+6487.73</f>
        <v>169995.00000000003</v>
      </c>
    </row>
    <row r="28" spans="1:4" s="6" customFormat="1" ht="18.75" customHeight="1">
      <c r="A28" s="167" t="s">
        <v>441</v>
      </c>
      <c r="B28" s="76" t="s">
        <v>255</v>
      </c>
      <c r="C28" s="134">
        <f>4855.81+14567.42+14971.59+9008.18+7347</f>
        <v>50750</v>
      </c>
      <c r="D28" s="134">
        <f>4855.81+14567.42+14971.59+9008.18+7347</f>
        <v>50750</v>
      </c>
    </row>
    <row r="29" spans="1:4" s="6" customFormat="1" ht="18.75" customHeight="1">
      <c r="A29" s="170" t="s">
        <v>441</v>
      </c>
      <c r="B29" s="156" t="s">
        <v>193</v>
      </c>
      <c r="C29" s="135">
        <v>198000</v>
      </c>
      <c r="D29" s="135">
        <v>198000</v>
      </c>
    </row>
    <row r="30" spans="1:5" s="6" customFormat="1" ht="23.25" customHeight="1">
      <c r="A30" s="167" t="s">
        <v>441</v>
      </c>
      <c r="B30" s="76" t="s">
        <v>132</v>
      </c>
      <c r="C30" s="134">
        <f>135981.51+367165.62+126337.16+62287.54+352456.38+59311.51+67596.74+135718.82+185290.72</f>
        <v>1492146</v>
      </c>
      <c r="D30" s="134">
        <f>135981.51+367165.62+126337.16+62287.54+352456.38+59311.51+67596.74+135718.82+185290.72</f>
        <v>1492146</v>
      </c>
      <c r="E30" s="185"/>
    </row>
    <row r="31" spans="1:5" s="6" customFormat="1" ht="17.25" customHeight="1">
      <c r="A31" s="171" t="s">
        <v>58</v>
      </c>
      <c r="B31" s="76"/>
      <c r="C31" s="186">
        <f>C20+C21+C23+C24+C25+C26+C27+C28+C30+C22+C29</f>
        <v>10822661.960000003</v>
      </c>
      <c r="D31" s="186">
        <f>D20+D21+D23+D24+D25+D26+D27+D28+D30+D22+D29</f>
        <v>10822661.960000003</v>
      </c>
      <c r="E31" s="185"/>
    </row>
    <row r="32" spans="1:4" s="6" customFormat="1" ht="17.25" customHeight="1">
      <c r="A32" s="187" t="s">
        <v>442</v>
      </c>
      <c r="B32" s="128" t="s">
        <v>43</v>
      </c>
      <c r="C32" s="188">
        <f>95587.96+76287.43+76124.6+151386.88+164419.25+176986.72+166190.59+15592.66+15107.33+167337.22+166932.18+13520.59+160280.92+10753.88+121211.03+7309.87+7675.37+132238.61</f>
        <v>1724943.0899999999</v>
      </c>
      <c r="D32" s="145">
        <f>95587.96+76287.43+76124.6+151386.88+164419.25+176986.72+166190.59+15592.66+15107.33+167337.22+166932.18+13520.59+160280.92+10753.88+121211.03+7309.87+7675.37+132238.61</f>
        <v>1724943.0899999999</v>
      </c>
    </row>
    <row r="33" spans="1:4" s="7" customFormat="1" ht="27.75" customHeight="1">
      <c r="A33" s="189" t="s">
        <v>443</v>
      </c>
      <c r="B33" s="76" t="s">
        <v>47</v>
      </c>
      <c r="C33" s="78">
        <f>207284.62+218315.3</f>
        <v>425599.92</v>
      </c>
      <c r="D33" s="97">
        <f>207284.62+218315.3</f>
        <v>425599.92</v>
      </c>
    </row>
    <row r="34" spans="1:4" s="7" customFormat="1" ht="35.25" customHeight="1">
      <c r="A34" s="189" t="s">
        <v>443</v>
      </c>
      <c r="B34" s="76" t="s">
        <v>130</v>
      </c>
      <c r="C34" s="78">
        <f>209620.66+201016.25+181201.52+211631.03+213880.4+150685.51+219160.4+199671.85+249970.13+213398.25</f>
        <v>2050236</v>
      </c>
      <c r="D34" s="97">
        <f>209620.66+201016.25+181201.52+211631.03+213880.4+150685.51+219160.4+199671.85+249970.13+213398.25</f>
        <v>2050236</v>
      </c>
    </row>
    <row r="35" spans="1:4" s="7" customFormat="1" ht="18.75" customHeight="1">
      <c r="A35" s="171" t="s">
        <v>58</v>
      </c>
      <c r="B35" s="76"/>
      <c r="C35" s="134">
        <f>C33+C34</f>
        <v>2475835.92</v>
      </c>
      <c r="D35" s="134">
        <f>D33+D34</f>
        <v>2475835.92</v>
      </c>
    </row>
    <row r="36" spans="1:4" s="6" customFormat="1" ht="26.25" customHeight="1">
      <c r="A36" s="172" t="s">
        <v>444</v>
      </c>
      <c r="B36" s="122" t="s">
        <v>131</v>
      </c>
      <c r="C36" s="140">
        <f>4498907.89+764173.86+873.7+408.13+4465.25+2449997.32</f>
        <v>7718826.15</v>
      </c>
      <c r="D36" s="138">
        <f>4498907.89+764173.86+873.7+408.13+4465.25+2449997.32</f>
        <v>7718826.15</v>
      </c>
    </row>
    <row r="37" spans="1:4" s="6" customFormat="1" ht="16.5" customHeight="1">
      <c r="A37" s="146" t="s">
        <v>58</v>
      </c>
      <c r="B37" s="122"/>
      <c r="C37" s="140">
        <f>C36</f>
        <v>7718826.15</v>
      </c>
      <c r="D37" s="140">
        <f>D36</f>
        <v>7718826.15</v>
      </c>
    </row>
    <row r="38" spans="1:4" s="6" customFormat="1" ht="23.25" customHeight="1">
      <c r="A38" s="137" t="s">
        <v>164</v>
      </c>
      <c r="B38" s="122" t="s">
        <v>134</v>
      </c>
      <c r="C38" s="140">
        <f>64824.36+8109.73+15433.69+14624.72+19120.49+20595.71+19670.79+33620</f>
        <v>195999.49000000002</v>
      </c>
      <c r="D38" s="140">
        <f>64824.36+8109.73+15433.69+14624.72+19120.49+20595.71+19670.79+33620</f>
        <v>195999.49000000002</v>
      </c>
    </row>
    <row r="39" spans="1:4" s="6" customFormat="1" ht="32.25" customHeight="1">
      <c r="A39" s="141" t="s">
        <v>445</v>
      </c>
      <c r="B39" s="76" t="s">
        <v>52</v>
      </c>
      <c r="C39" s="142">
        <f>50092+84373+79951+120097+113766+113980+116147+39724+37277+37931+34396-23734</f>
        <v>804000</v>
      </c>
      <c r="D39" s="133">
        <f>50092+84373+79951+120097+113766+113980+116147+39724+37277+37931+34396-23734</f>
        <v>804000</v>
      </c>
    </row>
    <row r="40" spans="1:4" s="9" customFormat="1" ht="27.75" customHeight="1">
      <c r="A40" s="141" t="s">
        <v>446</v>
      </c>
      <c r="B40" s="76" t="s">
        <v>133</v>
      </c>
      <c r="C40" s="142">
        <f>175638+62333</f>
        <v>237971</v>
      </c>
      <c r="D40" s="133">
        <f>175638+62333</f>
        <v>237971</v>
      </c>
    </row>
    <row r="41" spans="1:4" s="7" customFormat="1" ht="23.25" customHeight="1">
      <c r="A41" s="190" t="s">
        <v>447</v>
      </c>
      <c r="B41" s="156" t="s">
        <v>186</v>
      </c>
      <c r="C41" s="143">
        <f>7819.8+6919.49+15517.56+6928.19+13845.36+16076.38+6444.06+7000.03+12267.83+7827.07+7271.1+6762.56+6419.65+7484.15+6928.19+10488.58+12277.39+5944.67+6453.2+5944.67+6439.9</f>
        <v>183059.83</v>
      </c>
      <c r="D41" s="139">
        <f>7819.8+6919.49+15517.56+6928.19+13845.36+16076.38+6444.06+7000.03+12267.83+7827.07+7271.1+6762.56+6419.65+7484.15+6928.19+10488.58+12277.39+5944.67+6453.2+5944.67+6439.9</f>
        <v>183059.83</v>
      </c>
    </row>
    <row r="42" spans="1:4" s="7" customFormat="1" ht="26.25" customHeight="1">
      <c r="A42" s="167" t="s">
        <v>448</v>
      </c>
      <c r="B42" s="76" t="s">
        <v>189</v>
      </c>
      <c r="C42" s="134">
        <f>9775.3+8117.17+12985.73+4974.65</f>
        <v>35852.85</v>
      </c>
      <c r="D42" s="97">
        <f>9775.3+8117.17+12985.73+4974.65</f>
        <v>35852.85</v>
      </c>
    </row>
    <row r="43" spans="1:4" s="7" customFormat="1" ht="18.75" customHeight="1">
      <c r="A43" s="167" t="s">
        <v>448</v>
      </c>
      <c r="B43" s="76" t="s">
        <v>193</v>
      </c>
      <c r="C43" s="134">
        <f>16968.42+23975.28+8656.3</f>
        <v>49600</v>
      </c>
      <c r="D43" s="97">
        <f>16968.42+23975.28+8656.3</f>
        <v>49600</v>
      </c>
    </row>
    <row r="44" spans="1:4" s="7" customFormat="1" ht="17.25" customHeight="1">
      <c r="A44" s="146" t="s">
        <v>58</v>
      </c>
      <c r="B44" s="76"/>
      <c r="C44" s="134">
        <f>C42+C43</f>
        <v>85452.85</v>
      </c>
      <c r="D44" s="134">
        <f>D42+D43</f>
        <v>85452.85</v>
      </c>
    </row>
    <row r="45" spans="1:4" s="7" customFormat="1" ht="26.25" customHeight="1">
      <c r="A45" s="187" t="s">
        <v>449</v>
      </c>
      <c r="B45" s="128" t="s">
        <v>188</v>
      </c>
      <c r="C45" s="144">
        <f>78589+39444+40029+40938</f>
        <v>199000</v>
      </c>
      <c r="D45" s="145">
        <f>78589+39444+40029+40938</f>
        <v>199000</v>
      </c>
    </row>
    <row r="46" spans="1:4" s="9" customFormat="1" ht="18.75" customHeight="1">
      <c r="A46" s="167" t="s">
        <v>450</v>
      </c>
      <c r="B46" s="76" t="s">
        <v>187</v>
      </c>
      <c r="C46" s="134">
        <f>129922.8+37132.8+27373.2</f>
        <v>194428.80000000002</v>
      </c>
      <c r="D46" s="97">
        <f>129922.8+37132.8+27373.2</f>
        <v>194428.80000000002</v>
      </c>
    </row>
    <row r="47" spans="1:4" s="9" customFormat="1" ht="16.5" customHeight="1">
      <c r="A47" s="167" t="s">
        <v>450</v>
      </c>
      <c r="B47" s="76" t="s">
        <v>188</v>
      </c>
      <c r="C47" s="134">
        <v>29943</v>
      </c>
      <c r="D47" s="97">
        <v>29943</v>
      </c>
    </row>
    <row r="48" spans="1:4" s="9" customFormat="1" ht="21" customHeight="1">
      <c r="A48" s="167" t="s">
        <v>450</v>
      </c>
      <c r="B48" s="76" t="s">
        <v>45</v>
      </c>
      <c r="C48" s="134">
        <v>49973</v>
      </c>
      <c r="D48" s="97">
        <v>49973</v>
      </c>
    </row>
    <row r="49" spans="1:4" s="9" customFormat="1" ht="16.5" customHeight="1">
      <c r="A49" s="146" t="s">
        <v>58</v>
      </c>
      <c r="B49" s="76"/>
      <c r="C49" s="134">
        <f>C46+C47+C48</f>
        <v>274344.80000000005</v>
      </c>
      <c r="D49" s="134">
        <f>D46+D47+D48</f>
        <v>274344.80000000005</v>
      </c>
    </row>
    <row r="50" spans="1:4" s="9" customFormat="1" ht="16.5" customHeight="1">
      <c r="A50" s="146"/>
      <c r="B50" s="76"/>
      <c r="C50" s="134"/>
      <c r="D50" s="134"/>
    </row>
    <row r="51" spans="1:4" s="7" customFormat="1" ht="12.75">
      <c r="A51" s="189" t="s">
        <v>5</v>
      </c>
      <c r="B51" s="76"/>
      <c r="C51" s="186">
        <f>C15+C19+C31+C32+C35+C39+C40+C41+C44+C45+C49</f>
        <v>40030800.690000005</v>
      </c>
      <c r="D51" s="186">
        <f>D15+D19+D31+D32+D35+D39+D40+D41+D44+D45+D49</f>
        <v>40030800.690000005</v>
      </c>
    </row>
    <row r="52" spans="1:4" s="7" customFormat="1" ht="12.75">
      <c r="A52" s="189" t="s">
        <v>5</v>
      </c>
      <c r="B52" s="73"/>
      <c r="C52" s="169">
        <f>C37+C38</f>
        <v>7914825.640000001</v>
      </c>
      <c r="D52" s="169">
        <f>D37+D38</f>
        <v>7914825.640000001</v>
      </c>
    </row>
    <row r="53" spans="1:4" s="7" customFormat="1" ht="12.75">
      <c r="A53" s="189" t="s">
        <v>5</v>
      </c>
      <c r="B53" s="73"/>
      <c r="C53" s="169">
        <f>C51+C52</f>
        <v>47945626.330000006</v>
      </c>
      <c r="D53" s="169">
        <f>D51+D52</f>
        <v>47945626.330000006</v>
      </c>
    </row>
    <row r="54" spans="1:4" ht="12.75">
      <c r="A54" s="100" t="s">
        <v>451</v>
      </c>
      <c r="B54" s="17"/>
      <c r="C54" s="20"/>
      <c r="D54" s="20"/>
    </row>
    <row r="55" spans="1:4" ht="12.75">
      <c r="A55" s="100" t="s">
        <v>452</v>
      </c>
      <c r="B55" s="17"/>
      <c r="C55" s="20"/>
      <c r="D55" s="20"/>
    </row>
    <row r="56" spans="1:4" ht="12.75">
      <c r="A56" s="100" t="s">
        <v>53</v>
      </c>
      <c r="B56" s="20"/>
      <c r="C56" s="20"/>
      <c r="D56" s="20"/>
    </row>
    <row r="57" spans="1:4" ht="12.75">
      <c r="A57" s="100"/>
      <c r="B57" s="20"/>
      <c r="C57" s="20"/>
      <c r="D57" s="20"/>
    </row>
    <row r="58" spans="1:4" ht="12.75">
      <c r="A58" s="100"/>
      <c r="B58" s="20"/>
      <c r="C58" s="20"/>
      <c r="D58" s="20"/>
    </row>
  </sheetData>
  <sheetProtection selectLockedCells="1" selectUnlockedCells="1"/>
  <printOptions/>
  <pageMargins left="0.7874015748031497" right="0.7874015748031497" top="0.3937007874015748" bottom="0.3937007874015748" header="0.5118110236220472" footer="0.5118110236220472"/>
  <pageSetup fitToHeight="100" fitToWidth="1" horizontalDpi="300" verticalDpi="300" orientation="landscape" paperSize="9" scale="1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1">
    <tabColor rgb="FFC00000"/>
  </sheetPr>
  <dimension ref="A1:D16"/>
  <sheetViews>
    <sheetView zoomScale="110" zoomScaleNormal="110" zoomScaleSheetLayoutView="110" zoomScalePageLayoutView="0" workbookViewId="0" topLeftCell="A1">
      <selection activeCell="A11" sqref="A11:B14"/>
    </sheetView>
  </sheetViews>
  <sheetFormatPr defaultColWidth="9.140625" defaultRowHeight="12.75"/>
  <cols>
    <col min="1" max="1" width="48.57421875" style="1" customWidth="1"/>
    <col min="2" max="2" width="24.421875" style="2" customWidth="1"/>
    <col min="3" max="3" width="13.8515625" style="2" customWidth="1"/>
    <col min="4" max="4" width="17.140625" style="2" customWidth="1"/>
  </cols>
  <sheetData>
    <row r="1" spans="1:4" s="4" customFormat="1" ht="12.75">
      <c r="A1" s="217" t="s">
        <v>460</v>
      </c>
      <c r="B1" s="218"/>
      <c r="C1" s="218"/>
      <c r="D1" s="218"/>
    </row>
    <row r="2" spans="1:4" s="7" customFormat="1" ht="35.25" customHeight="1">
      <c r="A2" s="286" t="s">
        <v>37</v>
      </c>
      <c r="B2" s="286" t="s">
        <v>3</v>
      </c>
      <c r="C2" s="286" t="s">
        <v>4</v>
      </c>
      <c r="D2" s="287" t="s">
        <v>1</v>
      </c>
    </row>
    <row r="3" spans="1:4" s="7" customFormat="1" ht="24" customHeight="1">
      <c r="A3" s="154" t="s">
        <v>24</v>
      </c>
      <c r="B3" s="252"/>
      <c r="C3" s="76">
        <f>C6</f>
        <v>130000</v>
      </c>
      <c r="D3" s="76">
        <f>D6</f>
        <v>130000</v>
      </c>
    </row>
    <row r="4" spans="1:4" s="7" customFormat="1" ht="25.5" customHeight="1">
      <c r="A4" s="285" t="s">
        <v>300</v>
      </c>
      <c r="B4" s="252" t="s">
        <v>45</v>
      </c>
      <c r="C4" s="78">
        <v>32300</v>
      </c>
      <c r="D4" s="78">
        <v>32300</v>
      </c>
    </row>
    <row r="5" spans="1:4" s="7" customFormat="1" ht="24" customHeight="1">
      <c r="A5" s="285" t="s">
        <v>300</v>
      </c>
      <c r="B5" s="252" t="s">
        <v>256</v>
      </c>
      <c r="C5" s="78">
        <f>7005.53+16374.39+9600.7+17818.35+17818.35+29082.68</f>
        <v>97700</v>
      </c>
      <c r="D5" s="78">
        <f>7005.53+16374.39+9600.7+17818.35+17818.35+29082.68</f>
        <v>97700</v>
      </c>
    </row>
    <row r="6" spans="1:4" s="7" customFormat="1" ht="16.5" customHeight="1">
      <c r="A6" s="108" t="s">
        <v>58</v>
      </c>
      <c r="B6" s="252"/>
      <c r="C6" s="76">
        <f>C4+C5</f>
        <v>130000</v>
      </c>
      <c r="D6" s="76">
        <f>D4+D5</f>
        <v>130000</v>
      </c>
    </row>
    <row r="7" spans="1:4" s="7" customFormat="1" ht="26.25" customHeight="1">
      <c r="A7" s="108" t="s">
        <v>237</v>
      </c>
      <c r="B7" s="252"/>
      <c r="C7" s="78">
        <f>114000+C9</f>
        <v>311979.6</v>
      </c>
      <c r="D7" s="78">
        <f>114000+D9</f>
        <v>311979.6</v>
      </c>
    </row>
    <row r="8" spans="1:4" s="7" customFormat="1" ht="28.5" customHeight="1">
      <c r="A8" s="106" t="s">
        <v>403</v>
      </c>
      <c r="B8" s="76" t="s">
        <v>256</v>
      </c>
      <c r="C8" s="78">
        <v>114000</v>
      </c>
      <c r="D8" s="78">
        <v>114000</v>
      </c>
    </row>
    <row r="9" spans="1:4" s="7" customFormat="1" ht="24" customHeight="1">
      <c r="A9" s="106" t="s">
        <v>404</v>
      </c>
      <c r="B9" s="252" t="s">
        <v>43</v>
      </c>
      <c r="C9" s="78">
        <v>197979.6</v>
      </c>
      <c r="D9" s="78">
        <v>197979.6</v>
      </c>
    </row>
    <row r="10" spans="1:4" s="7" customFormat="1" ht="12.75">
      <c r="A10" s="167" t="s">
        <v>15</v>
      </c>
      <c r="B10" s="73"/>
      <c r="C10" s="74">
        <f>C3+C7</f>
        <v>441979.6</v>
      </c>
      <c r="D10" s="74">
        <f>D3+D7</f>
        <v>441979.6</v>
      </c>
    </row>
    <row r="11" spans="1:2" ht="15.75">
      <c r="A11" s="100" t="s">
        <v>451</v>
      </c>
      <c r="B11" s="161"/>
    </row>
    <row r="12" spans="1:2" ht="15.75">
      <c r="A12" s="100" t="s">
        <v>452</v>
      </c>
      <c r="B12" s="161"/>
    </row>
    <row r="13" spans="1:2" ht="15.75">
      <c r="A13" s="100" t="s">
        <v>53</v>
      </c>
      <c r="B13" s="159"/>
    </row>
    <row r="14" spans="1:2" ht="15.75">
      <c r="A14" s="100"/>
      <c r="B14" s="161"/>
    </row>
    <row r="15" spans="1:2" ht="12.75">
      <c r="A15" s="100"/>
      <c r="B15" s="165"/>
    </row>
    <row r="16" spans="1:2" ht="12.75">
      <c r="A16" s="19"/>
      <c r="B16" s="165"/>
    </row>
  </sheetData>
  <sheetProtection selectLockedCells="1" selectUnlockedCells="1"/>
  <printOptions/>
  <pageMargins left="0.7875" right="0.7875" top="0.39375" bottom="0.39375" header="0.5118055555555555" footer="0.5118055555555555"/>
  <pageSetup horizontalDpi="300" verticalDpi="300" orientation="landscape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E190"/>
  <sheetViews>
    <sheetView zoomScalePageLayoutView="0" workbookViewId="0" topLeftCell="A175">
      <selection activeCell="A183" sqref="A183:B187"/>
    </sheetView>
  </sheetViews>
  <sheetFormatPr defaultColWidth="9.140625" defaultRowHeight="12.75"/>
  <cols>
    <col min="1" max="1" width="53.28125" style="0" customWidth="1"/>
    <col min="2" max="2" width="27.8515625" style="0" customWidth="1"/>
    <col min="3" max="3" width="16.00390625" style="0" customWidth="1"/>
    <col min="4" max="4" width="16.7109375" style="0" customWidth="1"/>
    <col min="6" max="6" width="10.7109375" style="0" customWidth="1"/>
  </cols>
  <sheetData>
    <row r="1" spans="1:4" ht="12.75" customHeight="1">
      <c r="A1" s="288" t="s">
        <v>461</v>
      </c>
      <c r="B1" s="289"/>
      <c r="C1" s="289"/>
      <c r="D1" s="71"/>
    </row>
    <row r="2" spans="1:4" ht="43.5" customHeight="1">
      <c r="A2" s="76" t="s">
        <v>37</v>
      </c>
      <c r="B2" s="76" t="s">
        <v>3</v>
      </c>
      <c r="C2" s="252" t="s">
        <v>4</v>
      </c>
      <c r="D2" s="253" t="s">
        <v>1</v>
      </c>
    </row>
    <row r="3" spans="1:4" ht="21.75" customHeight="1">
      <c r="A3" s="76" t="s">
        <v>235</v>
      </c>
      <c r="B3" s="76"/>
      <c r="C3" s="254">
        <f>C4+C62+C63+C67+C70+C75</f>
        <v>8524964.490000002</v>
      </c>
      <c r="D3" s="254">
        <f>D4+D62+D63+D67+D70+D75</f>
        <v>8524964.490000002</v>
      </c>
    </row>
    <row r="4" spans="1:4" ht="27" customHeight="1">
      <c r="A4" s="108" t="s">
        <v>65</v>
      </c>
      <c r="B4" s="73"/>
      <c r="C4" s="74">
        <f>C7+C10+C13+C18+C26+C29+C32+C35+C40+C43+C46+C51+C56+C59+C21</f>
        <v>6718347.320000001</v>
      </c>
      <c r="D4" s="74">
        <f>D7+D10+D13+D18+D26+D29+D32+D35+D40+D43+D46+D51+D56+D59+D21</f>
        <v>6718347.320000001</v>
      </c>
    </row>
    <row r="5" spans="1:4" ht="18" customHeight="1">
      <c r="A5" s="291" t="s">
        <v>283</v>
      </c>
      <c r="B5" s="73" t="s">
        <v>60</v>
      </c>
      <c r="C5" s="74">
        <f>4183.91+11769.04+5171.09</f>
        <v>21124.04</v>
      </c>
      <c r="D5" s="74">
        <f>4183.91+11769.04+5171.09</f>
        <v>21124.04</v>
      </c>
    </row>
    <row r="6" spans="1:4" ht="15.75" customHeight="1">
      <c r="A6" s="291" t="s">
        <v>283</v>
      </c>
      <c r="B6" s="73" t="s">
        <v>296</v>
      </c>
      <c r="C6" s="74">
        <f>174158.58+471190.43+211277.66</f>
        <v>856626.67</v>
      </c>
      <c r="D6" s="74">
        <f>174158.58+471190.43+211277.66</f>
        <v>856626.67</v>
      </c>
    </row>
    <row r="7" spans="1:4" ht="16.5" customHeight="1">
      <c r="A7" s="125" t="s">
        <v>58</v>
      </c>
      <c r="B7" s="73"/>
      <c r="C7" s="74">
        <f>C5+C6</f>
        <v>877750.7100000001</v>
      </c>
      <c r="D7" s="74">
        <f>D5+D6</f>
        <v>877750.7100000001</v>
      </c>
    </row>
    <row r="8" spans="1:4" ht="24" customHeight="1">
      <c r="A8" s="285" t="s">
        <v>91</v>
      </c>
      <c r="B8" s="124" t="s">
        <v>197</v>
      </c>
      <c r="C8" s="74">
        <v>8100</v>
      </c>
      <c r="D8" s="74">
        <v>8100</v>
      </c>
    </row>
    <row r="9" spans="1:4" ht="17.25" customHeight="1">
      <c r="A9" s="285" t="s">
        <v>91</v>
      </c>
      <c r="B9" s="124" t="s">
        <v>297</v>
      </c>
      <c r="C9" s="74">
        <v>64154.58</v>
      </c>
      <c r="D9" s="74">
        <v>64154.58</v>
      </c>
    </row>
    <row r="10" spans="1:4" ht="15.75" customHeight="1">
      <c r="A10" s="125" t="s">
        <v>58</v>
      </c>
      <c r="B10" s="124"/>
      <c r="C10" s="74">
        <f>C8+C9</f>
        <v>72254.58</v>
      </c>
      <c r="D10" s="74">
        <f>D8+D9</f>
        <v>72254.58</v>
      </c>
    </row>
    <row r="11" spans="1:4" ht="16.5" customHeight="1">
      <c r="A11" s="279" t="s">
        <v>66</v>
      </c>
      <c r="B11" s="72" t="s">
        <v>92</v>
      </c>
      <c r="C11" s="74">
        <v>541180</v>
      </c>
      <c r="D11" s="74">
        <v>541180</v>
      </c>
    </row>
    <row r="12" spans="1:4" ht="15" customHeight="1">
      <c r="A12" s="279" t="s">
        <v>66</v>
      </c>
      <c r="B12" s="72" t="s">
        <v>102</v>
      </c>
      <c r="C12" s="74">
        <v>15144.48</v>
      </c>
      <c r="D12" s="74">
        <v>15144.48</v>
      </c>
    </row>
    <row r="13" spans="1:4" ht="15.75" customHeight="1">
      <c r="A13" s="125" t="s">
        <v>58</v>
      </c>
      <c r="B13" s="72"/>
      <c r="C13" s="74">
        <f>C11+C12</f>
        <v>556324.48</v>
      </c>
      <c r="D13" s="74">
        <f>D11+D12</f>
        <v>556324.48</v>
      </c>
    </row>
    <row r="14" spans="1:4" ht="23.25" customHeight="1">
      <c r="A14" s="279" t="s">
        <v>163</v>
      </c>
      <c r="B14" s="124" t="s">
        <v>197</v>
      </c>
      <c r="C14" s="74">
        <v>8100</v>
      </c>
      <c r="D14" s="74">
        <v>8100</v>
      </c>
    </row>
    <row r="15" spans="1:4" ht="17.25" customHeight="1">
      <c r="A15" s="290" t="s">
        <v>163</v>
      </c>
      <c r="B15" s="124" t="s">
        <v>399</v>
      </c>
      <c r="C15" s="74">
        <f>45567.4+313974.4+123851</f>
        <v>483392.80000000005</v>
      </c>
      <c r="D15" s="74">
        <f>45567.4+313974.4+123851</f>
        <v>483392.80000000005</v>
      </c>
    </row>
    <row r="16" spans="1:4" ht="17.25" customHeight="1">
      <c r="A16" s="279" t="s">
        <v>163</v>
      </c>
      <c r="B16" s="124" t="s">
        <v>102</v>
      </c>
      <c r="C16" s="74">
        <f>1154.73+7552.47+2970.3</f>
        <v>11677.5</v>
      </c>
      <c r="D16" s="74">
        <f>1154.73+7552.47+2970.3</f>
        <v>11677.5</v>
      </c>
    </row>
    <row r="17" spans="1:4" ht="23.25" customHeight="1">
      <c r="A17" s="279" t="s">
        <v>163</v>
      </c>
      <c r="B17" s="124" t="s">
        <v>297</v>
      </c>
      <c r="C17" s="74">
        <v>74587.45</v>
      </c>
      <c r="D17" s="74">
        <v>74587.45</v>
      </c>
    </row>
    <row r="18" spans="1:4" ht="18" customHeight="1">
      <c r="A18" s="125" t="s">
        <v>58</v>
      </c>
      <c r="B18" s="124"/>
      <c r="C18" s="74">
        <f>C14+C17+C15+C16</f>
        <v>577757.75</v>
      </c>
      <c r="D18" s="74">
        <f>D14+D17+D15+D16</f>
        <v>577757.75</v>
      </c>
    </row>
    <row r="19" spans="1:4" ht="15" customHeight="1">
      <c r="A19" s="291" t="s">
        <v>67</v>
      </c>
      <c r="B19" s="124" t="s">
        <v>241</v>
      </c>
      <c r="C19" s="74">
        <f>191823.38+344903.93</f>
        <v>536727.31</v>
      </c>
      <c r="D19" s="74">
        <f>191823.38+344903.93</f>
        <v>536727.31</v>
      </c>
    </row>
    <row r="20" spans="1:4" ht="18.75" customHeight="1">
      <c r="A20" s="291" t="s">
        <v>67</v>
      </c>
      <c r="B20" s="72" t="s">
        <v>102</v>
      </c>
      <c r="C20" s="74">
        <f>4637.07+8609.98</f>
        <v>13247.05</v>
      </c>
      <c r="D20" s="74">
        <f>4637.07+8609.98</f>
        <v>13247.05</v>
      </c>
    </row>
    <row r="21" spans="1:4" ht="18" customHeight="1">
      <c r="A21" s="125" t="s">
        <v>58</v>
      </c>
      <c r="B21" s="124"/>
      <c r="C21" s="74">
        <f>C19+C20</f>
        <v>549974.3600000001</v>
      </c>
      <c r="D21" s="74">
        <f>D19+D20</f>
        <v>549974.3600000001</v>
      </c>
    </row>
    <row r="22" spans="1:4" ht="15.75" customHeight="1">
      <c r="A22" s="279" t="s">
        <v>68</v>
      </c>
      <c r="B22" s="73" t="s">
        <v>241</v>
      </c>
      <c r="C22" s="74">
        <f>197140.51+214958.93+210148.52+451812.92+265995.48</f>
        <v>1340056.3599999999</v>
      </c>
      <c r="D22" s="74">
        <f>197140.51+214958.93+210148.52+451812.92+265995.48</f>
        <v>1340056.3599999999</v>
      </c>
    </row>
    <row r="23" spans="1:4" ht="16.5" customHeight="1">
      <c r="A23" s="279" t="s">
        <v>68</v>
      </c>
      <c r="B23" s="72" t="s">
        <v>102</v>
      </c>
      <c r="C23" s="74">
        <f>4749.01+5300.1+5230.3+11266.05</f>
        <v>26545.46</v>
      </c>
      <c r="D23" s="74">
        <f>4749.01+5300.1+5230.3+11266.05</f>
        <v>26545.46</v>
      </c>
    </row>
    <row r="24" spans="1:4" ht="23.25" customHeight="1">
      <c r="A24" s="279" t="s">
        <v>68</v>
      </c>
      <c r="B24" s="124" t="s">
        <v>197</v>
      </c>
      <c r="C24" s="74">
        <v>8100</v>
      </c>
      <c r="D24" s="74">
        <v>8100</v>
      </c>
    </row>
    <row r="25" spans="1:4" ht="21" customHeight="1">
      <c r="A25" s="279" t="s">
        <v>68</v>
      </c>
      <c r="B25" s="73" t="s">
        <v>195</v>
      </c>
      <c r="C25" s="74">
        <v>48775.45</v>
      </c>
      <c r="D25" s="74">
        <v>48775.45</v>
      </c>
    </row>
    <row r="26" spans="1:4" ht="17.25" customHeight="1">
      <c r="A26" s="125" t="s">
        <v>58</v>
      </c>
      <c r="B26" s="73"/>
      <c r="C26" s="74">
        <f>C22+C23+C24+C25</f>
        <v>1423477.2699999998</v>
      </c>
      <c r="D26" s="74">
        <f>D22+D23+D24+D25</f>
        <v>1423477.2699999998</v>
      </c>
    </row>
    <row r="27" spans="1:4" ht="16.5" customHeight="1">
      <c r="A27" s="279" t="s">
        <v>69</v>
      </c>
      <c r="B27" s="73" t="s">
        <v>195</v>
      </c>
      <c r="C27" s="74">
        <v>32346.31</v>
      </c>
      <c r="D27" s="74">
        <v>32346.31</v>
      </c>
    </row>
    <row r="28" spans="1:4" ht="27" customHeight="1">
      <c r="A28" s="279" t="s">
        <v>69</v>
      </c>
      <c r="B28" s="124" t="s">
        <v>197</v>
      </c>
      <c r="C28" s="74">
        <v>6480</v>
      </c>
      <c r="D28" s="74">
        <v>6480</v>
      </c>
    </row>
    <row r="29" spans="1:4" ht="15" customHeight="1">
      <c r="A29" s="125" t="s">
        <v>58</v>
      </c>
      <c r="B29" s="73"/>
      <c r="C29" s="74">
        <f>C27+C28</f>
        <v>38826.31</v>
      </c>
      <c r="D29" s="74">
        <f>D27+D28</f>
        <v>38826.31</v>
      </c>
    </row>
    <row r="30" spans="1:4" ht="18.75" customHeight="1">
      <c r="A30" s="279" t="s">
        <v>70</v>
      </c>
      <c r="B30" s="124" t="s">
        <v>62</v>
      </c>
      <c r="C30" s="74">
        <v>21392.1</v>
      </c>
      <c r="D30" s="74">
        <v>21392.1</v>
      </c>
    </row>
    <row r="31" spans="1:4" ht="16.5" customHeight="1">
      <c r="A31" s="279" t="s">
        <v>70</v>
      </c>
      <c r="B31" s="73" t="s">
        <v>136</v>
      </c>
      <c r="C31" s="74">
        <v>3402</v>
      </c>
      <c r="D31" s="74">
        <v>3402</v>
      </c>
    </row>
    <row r="32" spans="1:4" ht="14.25" customHeight="1">
      <c r="A32" s="125" t="s">
        <v>58</v>
      </c>
      <c r="B32" s="124"/>
      <c r="C32" s="74">
        <f>C30+C31</f>
        <v>24794.1</v>
      </c>
      <c r="D32" s="74">
        <f>D30+D31</f>
        <v>24794.1</v>
      </c>
    </row>
    <row r="33" spans="1:4" ht="17.25" customHeight="1">
      <c r="A33" s="279" t="s">
        <v>71</v>
      </c>
      <c r="B33" s="73" t="s">
        <v>102</v>
      </c>
      <c r="C33" s="74">
        <v>13065.81</v>
      </c>
      <c r="D33" s="74">
        <v>13065.81</v>
      </c>
    </row>
    <row r="34" spans="1:4" ht="18" customHeight="1">
      <c r="A34" s="279" t="s">
        <v>71</v>
      </c>
      <c r="B34" s="73" t="s">
        <v>63</v>
      </c>
      <c r="C34" s="74">
        <v>465238</v>
      </c>
      <c r="D34" s="74">
        <v>465238</v>
      </c>
    </row>
    <row r="35" spans="1:4" ht="18" customHeight="1">
      <c r="A35" s="125" t="s">
        <v>58</v>
      </c>
      <c r="B35" s="73"/>
      <c r="C35" s="74">
        <f>C33+C34</f>
        <v>478303.81</v>
      </c>
      <c r="D35" s="74">
        <f>D33+D34</f>
        <v>478303.81</v>
      </c>
    </row>
    <row r="36" spans="1:4" ht="15.75" customHeight="1">
      <c r="A36" s="279" t="s">
        <v>72</v>
      </c>
      <c r="B36" s="73" t="s">
        <v>195</v>
      </c>
      <c r="C36" s="74">
        <v>47813.56</v>
      </c>
      <c r="D36" s="74">
        <v>47813.56</v>
      </c>
    </row>
    <row r="37" spans="1:4" ht="20.25" customHeight="1">
      <c r="A37" s="279" t="s">
        <v>72</v>
      </c>
      <c r="B37" s="73" t="s">
        <v>241</v>
      </c>
      <c r="C37" s="74">
        <f>189151.92+118885.75+699851.87+241731.16</f>
        <v>1249620.7</v>
      </c>
      <c r="D37" s="74">
        <f>189151.92+118885.75+699851.87+241731.16</f>
        <v>1249620.7</v>
      </c>
    </row>
    <row r="38" spans="1:4" ht="15" customHeight="1">
      <c r="A38" s="279" t="s">
        <v>72</v>
      </c>
      <c r="B38" s="72" t="s">
        <v>102</v>
      </c>
      <c r="C38" s="74">
        <f>4556.93+2960.9+17477.47+5917.12</f>
        <v>30912.420000000002</v>
      </c>
      <c r="D38" s="74">
        <f>4556.93+2960.9+17477.47+5917.12</f>
        <v>30912.420000000002</v>
      </c>
    </row>
    <row r="39" spans="1:4" ht="26.25" customHeight="1">
      <c r="A39" s="279" t="s">
        <v>72</v>
      </c>
      <c r="B39" s="124" t="s">
        <v>197</v>
      </c>
      <c r="C39" s="74">
        <v>8100</v>
      </c>
      <c r="D39" s="74">
        <v>8100</v>
      </c>
    </row>
    <row r="40" spans="1:4" ht="17.25" customHeight="1">
      <c r="A40" s="125"/>
      <c r="B40" s="73"/>
      <c r="C40" s="74">
        <f>C36+C37+C38+C39</f>
        <v>1336446.68</v>
      </c>
      <c r="D40" s="74">
        <f>D36+D37+D38+D39</f>
        <v>1336446.68</v>
      </c>
    </row>
    <row r="41" spans="1:4" ht="24" customHeight="1">
      <c r="A41" s="279" t="s">
        <v>73</v>
      </c>
      <c r="B41" s="124" t="s">
        <v>268</v>
      </c>
      <c r="C41" s="74">
        <v>8100</v>
      </c>
      <c r="D41" s="74">
        <v>8100</v>
      </c>
    </row>
    <row r="42" spans="1:4" ht="19.5" customHeight="1">
      <c r="A42" s="279" t="s">
        <v>73</v>
      </c>
      <c r="B42" s="124" t="s">
        <v>297</v>
      </c>
      <c r="C42" s="74">
        <v>59317.07</v>
      </c>
      <c r="D42" s="74">
        <v>59317.07</v>
      </c>
    </row>
    <row r="43" spans="1:4" ht="17.25" customHeight="1">
      <c r="A43" s="125" t="s">
        <v>58</v>
      </c>
      <c r="B43" s="124"/>
      <c r="C43" s="74">
        <f>C41+C42</f>
        <v>67417.07</v>
      </c>
      <c r="D43" s="74">
        <f>D41+D42</f>
        <v>67417.07</v>
      </c>
    </row>
    <row r="44" spans="1:4" ht="25.5" customHeight="1">
      <c r="A44" s="279" t="s">
        <v>74</v>
      </c>
      <c r="B44" s="124" t="s">
        <v>197</v>
      </c>
      <c r="C44" s="74">
        <v>8100</v>
      </c>
      <c r="D44" s="74">
        <v>8100</v>
      </c>
    </row>
    <row r="45" spans="1:4" ht="17.25" customHeight="1">
      <c r="A45" s="279" t="s">
        <v>74</v>
      </c>
      <c r="B45" s="73" t="s">
        <v>195</v>
      </c>
      <c r="C45" s="74">
        <v>37682.38</v>
      </c>
      <c r="D45" s="74">
        <v>37682.38</v>
      </c>
    </row>
    <row r="46" spans="1:4" ht="15.75" customHeight="1">
      <c r="A46" s="125" t="s">
        <v>58</v>
      </c>
      <c r="B46" s="124"/>
      <c r="C46" s="74">
        <f>C44+C45</f>
        <v>45782.38</v>
      </c>
      <c r="D46" s="74">
        <f>D44+D45</f>
        <v>45782.38</v>
      </c>
    </row>
    <row r="47" spans="1:4" ht="17.25" customHeight="1">
      <c r="A47" s="290" t="s">
        <v>75</v>
      </c>
      <c r="B47" s="124" t="s">
        <v>368</v>
      </c>
      <c r="C47" s="74">
        <v>5790</v>
      </c>
      <c r="D47" s="74">
        <v>5790</v>
      </c>
    </row>
    <row r="48" spans="1:4" ht="17.25" customHeight="1">
      <c r="A48" s="290" t="s">
        <v>75</v>
      </c>
      <c r="B48" s="124" t="s">
        <v>102</v>
      </c>
      <c r="C48" s="74">
        <v>5834.85</v>
      </c>
      <c r="D48" s="74">
        <v>5834.85</v>
      </c>
    </row>
    <row r="49" spans="1:4" ht="17.25" customHeight="1">
      <c r="A49" s="290" t="s">
        <v>75</v>
      </c>
      <c r="B49" s="124" t="s">
        <v>426</v>
      </c>
      <c r="C49" s="74">
        <v>237342</v>
      </c>
      <c r="D49" s="74">
        <v>237342</v>
      </c>
    </row>
    <row r="50" spans="1:4" ht="17.25" customHeight="1">
      <c r="A50" s="279" t="s">
        <v>75</v>
      </c>
      <c r="B50" s="124" t="s">
        <v>62</v>
      </c>
      <c r="C50" s="74">
        <v>22140.91</v>
      </c>
      <c r="D50" s="74">
        <v>22140.91</v>
      </c>
    </row>
    <row r="51" spans="1:4" ht="17.25" customHeight="1">
      <c r="A51" s="125" t="s">
        <v>58</v>
      </c>
      <c r="B51" s="124"/>
      <c r="C51" s="74">
        <f>C47+C50+C48+C49</f>
        <v>271107.76</v>
      </c>
      <c r="D51" s="74">
        <f>D47+D50+D48+D49</f>
        <v>271107.76</v>
      </c>
    </row>
    <row r="52" spans="1:4" ht="24" customHeight="1">
      <c r="A52" s="279" t="s">
        <v>76</v>
      </c>
      <c r="B52" s="124" t="s">
        <v>197</v>
      </c>
      <c r="C52" s="74">
        <v>6480</v>
      </c>
      <c r="D52" s="74">
        <v>6480</v>
      </c>
    </row>
    <row r="53" spans="1:4" ht="21" customHeight="1">
      <c r="A53" s="279" t="s">
        <v>76</v>
      </c>
      <c r="B53" s="124" t="s">
        <v>241</v>
      </c>
      <c r="C53" s="74">
        <v>119818.18</v>
      </c>
      <c r="D53" s="74">
        <v>119818.18</v>
      </c>
    </row>
    <row r="54" spans="1:4" ht="18.75" customHeight="1">
      <c r="A54" s="279" t="s">
        <v>76</v>
      </c>
      <c r="B54" s="124" t="s">
        <v>60</v>
      </c>
      <c r="C54" s="74">
        <v>2963.81</v>
      </c>
      <c r="D54" s="74">
        <v>2963.81</v>
      </c>
    </row>
    <row r="55" spans="1:4" ht="18" customHeight="1">
      <c r="A55" s="279" t="s">
        <v>76</v>
      </c>
      <c r="B55" s="73" t="s">
        <v>195</v>
      </c>
      <c r="C55" s="74">
        <v>20731.45</v>
      </c>
      <c r="D55" s="74">
        <v>20731.45</v>
      </c>
    </row>
    <row r="56" spans="1:4" ht="16.5" customHeight="1">
      <c r="A56" s="125" t="s">
        <v>58</v>
      </c>
      <c r="B56" s="124"/>
      <c r="C56" s="74">
        <f>C52+C55+C53+C54</f>
        <v>149993.44</v>
      </c>
      <c r="D56" s="74">
        <f>D52+D55+D53+D54</f>
        <v>149993.44</v>
      </c>
    </row>
    <row r="57" spans="1:4" ht="23.25" customHeight="1">
      <c r="A57" s="279" t="s">
        <v>364</v>
      </c>
      <c r="B57" s="124" t="s">
        <v>160</v>
      </c>
      <c r="C57" s="74">
        <v>242189.21</v>
      </c>
      <c r="D57" s="74">
        <v>242189.21</v>
      </c>
    </row>
    <row r="58" spans="1:4" ht="15" customHeight="1">
      <c r="A58" s="279" t="s">
        <v>364</v>
      </c>
      <c r="B58" s="124" t="s">
        <v>102</v>
      </c>
      <c r="C58" s="74">
        <v>5947.41</v>
      </c>
      <c r="D58" s="74">
        <v>5947.41</v>
      </c>
    </row>
    <row r="59" spans="1:4" ht="17.25" customHeight="1">
      <c r="A59" s="125" t="s">
        <v>58</v>
      </c>
      <c r="B59" s="124"/>
      <c r="C59" s="74">
        <f>C57+C58</f>
        <v>248136.62</v>
      </c>
      <c r="D59" s="74">
        <f>D57+D58</f>
        <v>248136.62</v>
      </c>
    </row>
    <row r="60" spans="1:5" ht="16.5" customHeight="1">
      <c r="A60" s="125" t="s">
        <v>407</v>
      </c>
      <c r="B60" s="124"/>
      <c r="C60" s="74"/>
      <c r="D60" s="74"/>
      <c r="E60" s="293"/>
    </row>
    <row r="61" spans="1:5" ht="16.5" customHeight="1">
      <c r="A61" s="125" t="s">
        <v>365</v>
      </c>
      <c r="B61" s="124"/>
      <c r="C61" s="74"/>
      <c r="D61" s="74"/>
      <c r="E61" s="293"/>
    </row>
    <row r="62" spans="1:5" ht="30" customHeight="1">
      <c r="A62" s="108" t="s">
        <v>77</v>
      </c>
      <c r="B62" s="73" t="s">
        <v>139</v>
      </c>
      <c r="C62" s="74">
        <f>9720+9720+59688.44+74653.72+161215+7222.8+8100+71160+39990.62</f>
        <v>441470.58</v>
      </c>
      <c r="D62" s="74">
        <f>9720+9720+59688.44+74653.72+161215+7222.8+8100+71160+39990.62</f>
        <v>441470.58</v>
      </c>
      <c r="E62" s="293"/>
    </row>
    <row r="63" spans="1:5" ht="36.75" customHeight="1">
      <c r="A63" s="108" t="s">
        <v>78</v>
      </c>
      <c r="B63" s="73" t="s">
        <v>139</v>
      </c>
      <c r="C63" s="74">
        <f>3240+62499.65</f>
        <v>65739.65</v>
      </c>
      <c r="D63" s="74">
        <f>3240+62499.65</f>
        <v>65739.65</v>
      </c>
      <c r="E63" s="293"/>
    </row>
    <row r="64" spans="1:4" ht="17.25" customHeight="1">
      <c r="A64" s="285" t="s">
        <v>79</v>
      </c>
      <c r="B64" s="73" t="s">
        <v>104</v>
      </c>
      <c r="C64" s="75">
        <v>5250</v>
      </c>
      <c r="D64" s="73">
        <v>5250</v>
      </c>
    </row>
    <row r="65" spans="1:4" ht="13.5" customHeight="1">
      <c r="A65" s="285" t="s">
        <v>79</v>
      </c>
      <c r="B65" s="73" t="s">
        <v>101</v>
      </c>
      <c r="C65" s="75">
        <v>252774</v>
      </c>
      <c r="D65" s="73">
        <v>252774</v>
      </c>
    </row>
    <row r="66" spans="1:4" ht="17.25" customHeight="1">
      <c r="A66" s="285" t="s">
        <v>79</v>
      </c>
      <c r="B66" s="73" t="s">
        <v>60</v>
      </c>
      <c r="C66" s="292">
        <v>6131.01</v>
      </c>
      <c r="D66" s="73">
        <v>6131.01</v>
      </c>
    </row>
    <row r="67" spans="1:4" ht="15.75" customHeight="1">
      <c r="A67" s="104" t="s">
        <v>58</v>
      </c>
      <c r="B67" s="73"/>
      <c r="C67" s="258" t="s">
        <v>222</v>
      </c>
      <c r="D67" s="258">
        <f>D64+D65+D66</f>
        <v>264155.01</v>
      </c>
    </row>
    <row r="68" spans="1:4" ht="18.75" customHeight="1">
      <c r="A68" s="285" t="s">
        <v>64</v>
      </c>
      <c r="B68" s="63" t="s">
        <v>135</v>
      </c>
      <c r="C68" s="77">
        <v>6700.8</v>
      </c>
      <c r="D68" s="78">
        <v>6700.8</v>
      </c>
    </row>
    <row r="69" spans="1:4" ht="18" customHeight="1">
      <c r="A69" s="285" t="s">
        <v>64</v>
      </c>
      <c r="B69" s="63" t="s">
        <v>137</v>
      </c>
      <c r="C69" s="77">
        <v>29679</v>
      </c>
      <c r="D69" s="78">
        <v>29679</v>
      </c>
    </row>
    <row r="70" spans="1:4" ht="16.5" customHeight="1">
      <c r="A70" s="108" t="s">
        <v>58</v>
      </c>
      <c r="B70" s="63"/>
      <c r="C70" s="77">
        <f>C68+C69</f>
        <v>36379.8</v>
      </c>
      <c r="D70" s="77">
        <f>D68+D69</f>
        <v>36379.8</v>
      </c>
    </row>
    <row r="71" spans="1:4" ht="16.5" customHeight="1">
      <c r="A71" s="285" t="s">
        <v>203</v>
      </c>
      <c r="B71" s="63" t="s">
        <v>204</v>
      </c>
      <c r="C71" s="77">
        <f>48645+413493+175762+232351.4+24424+34900+10852</f>
        <v>940427.4</v>
      </c>
      <c r="D71" s="77">
        <f>48645+413493+175762+232351.4+24424+34900+10852</f>
        <v>940427.4</v>
      </c>
    </row>
    <row r="72" spans="1:4" ht="13.5" customHeight="1">
      <c r="A72" s="285" t="s">
        <v>203</v>
      </c>
      <c r="B72" s="63" t="s">
        <v>60</v>
      </c>
      <c r="C72" s="77">
        <f>10992.78+1297.47+4874.52+5777.7+600.96</f>
        <v>23543.43</v>
      </c>
      <c r="D72" s="77">
        <f>10992.78+1297.47+4874.52+5777.7+600.96</f>
        <v>23543.43</v>
      </c>
    </row>
    <row r="73" spans="1:4" ht="17.25" customHeight="1">
      <c r="A73" s="285" t="s">
        <v>203</v>
      </c>
      <c r="B73" s="63" t="s">
        <v>104</v>
      </c>
      <c r="C73" s="77">
        <f>9864.34+11715.59+5684.2+2842.2+1421.05</f>
        <v>31527.38</v>
      </c>
      <c r="D73" s="77">
        <f>9864.34+11715.59+5684.2+2842.2+1421.05</f>
        <v>31527.38</v>
      </c>
    </row>
    <row r="74" spans="1:4" ht="24.75" customHeight="1">
      <c r="A74" s="285" t="s">
        <v>203</v>
      </c>
      <c r="B74" s="63" t="s">
        <v>205</v>
      </c>
      <c r="C74" s="77">
        <v>3373.92</v>
      </c>
      <c r="D74" s="77">
        <v>3373.92</v>
      </c>
    </row>
    <row r="75" spans="1:4" ht="16.5" customHeight="1">
      <c r="A75" s="108" t="s">
        <v>58</v>
      </c>
      <c r="B75" s="63"/>
      <c r="C75" s="77">
        <f>C71+C72+C73+C74</f>
        <v>998872.1300000001</v>
      </c>
      <c r="D75" s="77">
        <f>D71+D72+D73+D74</f>
        <v>998872.1300000001</v>
      </c>
    </row>
    <row r="76" spans="1:4" ht="32.25" customHeight="1">
      <c r="A76" s="154" t="s">
        <v>21</v>
      </c>
      <c r="B76" s="73"/>
      <c r="C76" s="74">
        <f>C80+C84+C88+C92+C96+C100+C101+C151</f>
        <v>4084603.3499999996</v>
      </c>
      <c r="D76" s="74">
        <f>D80+D84+D88+D92+D96+D100+D101+D151</f>
        <v>4084603.3499999996</v>
      </c>
    </row>
    <row r="77" spans="1:4" ht="21.75" customHeight="1">
      <c r="A77" s="291" t="s">
        <v>80</v>
      </c>
      <c r="B77" s="73" t="s">
        <v>94</v>
      </c>
      <c r="C77" s="74">
        <v>113797.2</v>
      </c>
      <c r="D77" s="74">
        <v>113797.2</v>
      </c>
    </row>
    <row r="78" spans="1:4" ht="18" customHeight="1">
      <c r="A78" s="291" t="s">
        <v>80</v>
      </c>
      <c r="B78" s="79" t="s">
        <v>94</v>
      </c>
      <c r="C78" s="80">
        <v>3416.4</v>
      </c>
      <c r="D78" s="80">
        <v>3416.4</v>
      </c>
    </row>
    <row r="79" spans="1:4" ht="18.75" customHeight="1">
      <c r="A79" s="291" t="s">
        <v>80</v>
      </c>
      <c r="B79" s="73" t="s">
        <v>60</v>
      </c>
      <c r="C79" s="73">
        <v>2741.88</v>
      </c>
      <c r="D79" s="73">
        <v>2741.88</v>
      </c>
    </row>
    <row r="80" spans="1:4" ht="17.25" customHeight="1">
      <c r="A80" s="154" t="s">
        <v>58</v>
      </c>
      <c r="B80" s="73"/>
      <c r="C80" s="74">
        <f>C77+C78+C79</f>
        <v>119955.48</v>
      </c>
      <c r="D80" s="74">
        <f>D77+D78+D79</f>
        <v>119955.48</v>
      </c>
    </row>
    <row r="81" spans="1:4" ht="18" customHeight="1">
      <c r="A81" s="291" t="s">
        <v>81</v>
      </c>
      <c r="B81" s="73" t="s">
        <v>94</v>
      </c>
      <c r="C81" s="74">
        <v>4064.4</v>
      </c>
      <c r="D81" s="74">
        <v>4064.4</v>
      </c>
    </row>
    <row r="82" spans="1:4" ht="18.75" customHeight="1">
      <c r="A82" s="291" t="s">
        <v>81</v>
      </c>
      <c r="B82" s="73" t="s">
        <v>94</v>
      </c>
      <c r="C82" s="74">
        <v>185590.8</v>
      </c>
      <c r="D82" s="74">
        <v>185590.8</v>
      </c>
    </row>
    <row r="83" spans="1:4" ht="17.25" customHeight="1">
      <c r="A83" s="291" t="s">
        <v>81</v>
      </c>
      <c r="B83" s="73" t="s">
        <v>60</v>
      </c>
      <c r="C83" s="74">
        <v>4518.33</v>
      </c>
      <c r="D83" s="74">
        <v>4518.33</v>
      </c>
    </row>
    <row r="84" spans="1:4" ht="18" customHeight="1">
      <c r="A84" s="154" t="s">
        <v>58</v>
      </c>
      <c r="B84" s="73"/>
      <c r="C84" s="74">
        <f>C81+C82+C83</f>
        <v>194173.52999999997</v>
      </c>
      <c r="D84" s="74">
        <f>D81+D82+D83</f>
        <v>194173.52999999997</v>
      </c>
    </row>
    <row r="85" spans="1:4" ht="18" customHeight="1">
      <c r="A85" s="291" t="s">
        <v>82</v>
      </c>
      <c r="B85" s="73" t="s">
        <v>94</v>
      </c>
      <c r="C85" s="73">
        <v>74041.2</v>
      </c>
      <c r="D85" s="73">
        <v>74041.2</v>
      </c>
    </row>
    <row r="86" spans="1:4" ht="13.5" customHeight="1">
      <c r="A86" s="291" t="s">
        <v>82</v>
      </c>
      <c r="B86" s="73" t="s">
        <v>102</v>
      </c>
      <c r="C86" s="73">
        <v>1784.97</v>
      </c>
      <c r="D86" s="73">
        <v>1784.97</v>
      </c>
    </row>
    <row r="87" spans="1:4" ht="18" customHeight="1">
      <c r="A87" s="291" t="s">
        <v>82</v>
      </c>
      <c r="B87" s="73" t="s">
        <v>94</v>
      </c>
      <c r="C87" s="73">
        <v>3900.4</v>
      </c>
      <c r="D87" s="73">
        <v>3900.4</v>
      </c>
    </row>
    <row r="88" spans="1:4" ht="18" customHeight="1">
      <c r="A88" s="154" t="s">
        <v>58</v>
      </c>
      <c r="B88" s="73"/>
      <c r="C88" s="73">
        <f>C85+C86+C87</f>
        <v>79726.56999999999</v>
      </c>
      <c r="D88" s="73">
        <f>D85+D86+D87</f>
        <v>79726.56999999999</v>
      </c>
    </row>
    <row r="89" spans="1:4" ht="15" customHeight="1">
      <c r="A89" s="291" t="s">
        <v>83</v>
      </c>
      <c r="B89" s="79" t="s">
        <v>94</v>
      </c>
      <c r="C89" s="80">
        <v>1790.4</v>
      </c>
      <c r="D89" s="80">
        <v>1790.4</v>
      </c>
    </row>
    <row r="90" spans="1:4" ht="19.5" customHeight="1">
      <c r="A90" s="291" t="s">
        <v>83</v>
      </c>
      <c r="B90" s="73" t="s">
        <v>94</v>
      </c>
      <c r="C90" s="74">
        <v>57522</v>
      </c>
      <c r="D90" s="74">
        <v>57522</v>
      </c>
    </row>
    <row r="91" spans="1:4" ht="16.5" customHeight="1">
      <c r="A91" s="291" t="s">
        <v>83</v>
      </c>
      <c r="B91" s="73" t="s">
        <v>60</v>
      </c>
      <c r="C91" s="74">
        <v>1405.98</v>
      </c>
      <c r="D91" s="74">
        <v>1405.98</v>
      </c>
    </row>
    <row r="92" spans="1:4" ht="15.75" customHeight="1">
      <c r="A92" s="154" t="s">
        <v>58</v>
      </c>
      <c r="B92" s="73"/>
      <c r="C92" s="74">
        <f>C89+C90+C91</f>
        <v>60718.380000000005</v>
      </c>
      <c r="D92" s="74">
        <f>D89+D90+D91</f>
        <v>60718.380000000005</v>
      </c>
    </row>
    <row r="93" spans="1:4" ht="18.75" customHeight="1">
      <c r="A93" s="291" t="s">
        <v>367</v>
      </c>
      <c r="B93" s="72" t="s">
        <v>94</v>
      </c>
      <c r="C93" s="74">
        <v>3416.4</v>
      </c>
      <c r="D93" s="74">
        <v>3416.4</v>
      </c>
    </row>
    <row r="94" spans="1:4" ht="15" customHeight="1">
      <c r="A94" s="291" t="s">
        <v>367</v>
      </c>
      <c r="B94" s="73" t="s">
        <v>60</v>
      </c>
      <c r="C94" s="74">
        <v>1353.33</v>
      </c>
      <c r="D94" s="74">
        <v>1353.33</v>
      </c>
    </row>
    <row r="95" spans="1:4" ht="19.5" customHeight="1">
      <c r="A95" s="291" t="s">
        <v>367</v>
      </c>
      <c r="B95" s="72" t="s">
        <v>94</v>
      </c>
      <c r="C95" s="74">
        <v>55224</v>
      </c>
      <c r="D95" s="74">
        <v>55224</v>
      </c>
    </row>
    <row r="96" spans="1:4" ht="19.5" customHeight="1">
      <c r="A96" s="154" t="s">
        <v>58</v>
      </c>
      <c r="B96" s="72"/>
      <c r="C96" s="74">
        <f>C93+C95+C94</f>
        <v>59993.73</v>
      </c>
      <c r="D96" s="74">
        <f>D93+D95+D94</f>
        <v>59993.73</v>
      </c>
    </row>
    <row r="97" spans="1:4" ht="21" customHeight="1">
      <c r="A97" s="291" t="s">
        <v>366</v>
      </c>
      <c r="B97" s="73" t="s">
        <v>94</v>
      </c>
      <c r="C97" s="74">
        <v>3366</v>
      </c>
      <c r="D97" s="74">
        <v>3366</v>
      </c>
    </row>
    <row r="98" spans="1:4" ht="21" customHeight="1">
      <c r="A98" s="291" t="s">
        <v>366</v>
      </c>
      <c r="B98" s="73" t="s">
        <v>60</v>
      </c>
      <c r="C98" s="74">
        <v>1362.12</v>
      </c>
      <c r="D98" s="74">
        <v>1362.12</v>
      </c>
    </row>
    <row r="99" spans="1:4" ht="19.5" customHeight="1">
      <c r="A99" s="291" t="s">
        <v>366</v>
      </c>
      <c r="B99" s="73" t="s">
        <v>94</v>
      </c>
      <c r="C99" s="74">
        <v>55268.4</v>
      </c>
      <c r="D99" s="74">
        <v>55268.4</v>
      </c>
    </row>
    <row r="100" spans="1:4" ht="18" customHeight="1">
      <c r="A100" s="154" t="s">
        <v>58</v>
      </c>
      <c r="B100" s="73"/>
      <c r="C100" s="74">
        <f>C97+C99+C98</f>
        <v>59996.520000000004</v>
      </c>
      <c r="D100" s="74">
        <f>D97+D99+D98</f>
        <v>59996.520000000004</v>
      </c>
    </row>
    <row r="101" spans="1:4" ht="19.5" customHeight="1">
      <c r="A101" s="154" t="s">
        <v>85</v>
      </c>
      <c r="B101" s="73"/>
      <c r="C101" s="74">
        <f>C105+C109+C113+C117+C121+C125+C129+C133+C137+C141+C145+C150</f>
        <v>3341739.53</v>
      </c>
      <c r="D101" s="74">
        <f>D105+D109+D113+D117+D121+D125+D129+D133+D137+D141+D145+D150</f>
        <v>3341739.53</v>
      </c>
    </row>
    <row r="102" spans="1:4" ht="17.25" customHeight="1">
      <c r="A102" s="291" t="s">
        <v>93</v>
      </c>
      <c r="B102" s="72" t="s">
        <v>94</v>
      </c>
      <c r="C102" s="74">
        <v>3416.4</v>
      </c>
      <c r="D102" s="74">
        <v>3416.4</v>
      </c>
    </row>
    <row r="103" spans="1:4" ht="16.5" customHeight="1">
      <c r="A103" s="291" t="s">
        <v>93</v>
      </c>
      <c r="B103" s="72" t="s">
        <v>60</v>
      </c>
      <c r="C103" s="74">
        <v>5059.93</v>
      </c>
      <c r="D103" s="74">
        <v>5059.93</v>
      </c>
    </row>
    <row r="104" spans="1:4" ht="20.25" customHeight="1">
      <c r="A104" s="291" t="s">
        <v>93</v>
      </c>
      <c r="B104" s="72" t="s">
        <v>105</v>
      </c>
      <c r="C104" s="74">
        <v>283168</v>
      </c>
      <c r="D104" s="74">
        <v>283168</v>
      </c>
    </row>
    <row r="105" spans="1:4" ht="18" customHeight="1">
      <c r="A105" s="154" t="s">
        <v>58</v>
      </c>
      <c r="B105" s="72"/>
      <c r="C105" s="74">
        <f>C102+C103+C104</f>
        <v>291644.33</v>
      </c>
      <c r="D105" s="74">
        <f>D102+D103+D104</f>
        <v>291644.33</v>
      </c>
    </row>
    <row r="106" spans="1:4" ht="21.75" customHeight="1">
      <c r="A106" s="291" t="s">
        <v>95</v>
      </c>
      <c r="B106" s="72" t="s">
        <v>94</v>
      </c>
      <c r="C106" s="74">
        <v>3416.4</v>
      </c>
      <c r="D106" s="74">
        <v>3416.4</v>
      </c>
    </row>
    <row r="107" spans="1:4" ht="16.5" customHeight="1">
      <c r="A107" s="291" t="s">
        <v>95</v>
      </c>
      <c r="B107" s="72" t="s">
        <v>60</v>
      </c>
      <c r="C107" s="74">
        <v>3248.25</v>
      </c>
      <c r="D107" s="74">
        <v>3248.25</v>
      </c>
    </row>
    <row r="108" spans="1:4" ht="18.75" customHeight="1">
      <c r="A108" s="291" t="s">
        <v>95</v>
      </c>
      <c r="B108" s="72" t="s">
        <v>105</v>
      </c>
      <c r="C108" s="74">
        <v>130002</v>
      </c>
      <c r="D108" s="74">
        <v>130002</v>
      </c>
    </row>
    <row r="109" spans="1:4" ht="16.5" customHeight="1">
      <c r="A109" s="154" t="s">
        <v>58</v>
      </c>
      <c r="B109" s="72"/>
      <c r="C109" s="74">
        <f>C106+C107+C108</f>
        <v>136666.65</v>
      </c>
      <c r="D109" s="74">
        <f>D106+D107+D108</f>
        <v>136666.65</v>
      </c>
    </row>
    <row r="110" spans="1:4" ht="16.5" customHeight="1">
      <c r="A110" s="291" t="s">
        <v>96</v>
      </c>
      <c r="B110" s="72" t="s">
        <v>94</v>
      </c>
      <c r="C110" s="74">
        <v>3416.4</v>
      </c>
      <c r="D110" s="74">
        <v>3416.4</v>
      </c>
    </row>
    <row r="111" spans="1:4" ht="19.5" customHeight="1">
      <c r="A111" s="291" t="s">
        <v>96</v>
      </c>
      <c r="B111" s="72" t="s">
        <v>60</v>
      </c>
      <c r="C111" s="74">
        <v>2162.27</v>
      </c>
      <c r="D111" s="74">
        <v>2162.27</v>
      </c>
    </row>
    <row r="112" spans="1:4" ht="21.75" customHeight="1">
      <c r="A112" s="291" t="s">
        <v>96</v>
      </c>
      <c r="B112" s="72" t="s">
        <v>105</v>
      </c>
      <c r="C112" s="74">
        <v>84292</v>
      </c>
      <c r="D112" s="74">
        <v>84292</v>
      </c>
    </row>
    <row r="113" spans="1:4" ht="16.5" customHeight="1">
      <c r="A113" s="154" t="s">
        <v>58</v>
      </c>
      <c r="B113" s="72"/>
      <c r="C113" s="74">
        <f>C110+C111+C112</f>
        <v>89870.67</v>
      </c>
      <c r="D113" s="74">
        <f>D110+D111+D112</f>
        <v>89870.67</v>
      </c>
    </row>
    <row r="114" spans="1:4" ht="16.5" customHeight="1">
      <c r="A114" s="291" t="s">
        <v>97</v>
      </c>
      <c r="B114" s="72" t="s">
        <v>94</v>
      </c>
      <c r="C114" s="74">
        <v>3416.4</v>
      </c>
      <c r="D114" s="74">
        <v>3416.4</v>
      </c>
    </row>
    <row r="115" spans="1:4" ht="17.25" customHeight="1">
      <c r="A115" s="291" t="s">
        <v>97</v>
      </c>
      <c r="B115" s="72" t="s">
        <v>60</v>
      </c>
      <c r="C115" s="74">
        <v>3940.49</v>
      </c>
      <c r="D115" s="74">
        <v>3940.49</v>
      </c>
    </row>
    <row r="116" spans="1:4" ht="15" customHeight="1">
      <c r="A116" s="291" t="s">
        <v>97</v>
      </c>
      <c r="B116" s="72" t="s">
        <v>105</v>
      </c>
      <c r="C116" s="74">
        <v>196275</v>
      </c>
      <c r="D116" s="74">
        <v>196275</v>
      </c>
    </row>
    <row r="117" spans="1:4" ht="16.5" customHeight="1">
      <c r="A117" s="154" t="s">
        <v>58</v>
      </c>
      <c r="B117" s="72"/>
      <c r="C117" s="74">
        <f>C114+C115+C116</f>
        <v>203631.89</v>
      </c>
      <c r="D117" s="74">
        <f>D114+D115+D116</f>
        <v>203631.89</v>
      </c>
    </row>
    <row r="118" spans="1:4" ht="18.75" customHeight="1">
      <c r="A118" s="291" t="s">
        <v>98</v>
      </c>
      <c r="B118" s="72" t="s">
        <v>94</v>
      </c>
      <c r="C118" s="74">
        <v>3416.4</v>
      </c>
      <c r="D118" s="74">
        <v>3416.4</v>
      </c>
    </row>
    <row r="119" spans="1:4" ht="15.75" customHeight="1">
      <c r="A119" s="291" t="s">
        <v>98</v>
      </c>
      <c r="B119" s="72" t="s">
        <v>60</v>
      </c>
      <c r="C119" s="74">
        <v>7094.06</v>
      </c>
      <c r="D119" s="74">
        <v>7094.06</v>
      </c>
    </row>
    <row r="120" spans="1:4" ht="18.75" customHeight="1">
      <c r="A120" s="291" t="s">
        <v>98</v>
      </c>
      <c r="B120" s="72" t="s">
        <v>105</v>
      </c>
      <c r="C120" s="74">
        <v>155920</v>
      </c>
      <c r="D120" s="74">
        <v>155920</v>
      </c>
    </row>
    <row r="121" spans="1:4" ht="15.75" customHeight="1">
      <c r="A121" s="154" t="s">
        <v>58</v>
      </c>
      <c r="B121" s="72"/>
      <c r="C121" s="74">
        <f>C118+C119+C120</f>
        <v>166430.46</v>
      </c>
      <c r="D121" s="74">
        <f>D118+D119+D120</f>
        <v>166430.46</v>
      </c>
    </row>
    <row r="122" spans="1:4" ht="15" customHeight="1">
      <c r="A122" s="291" t="s">
        <v>99</v>
      </c>
      <c r="B122" s="72" t="s">
        <v>94</v>
      </c>
      <c r="C122" s="74">
        <v>3416.4</v>
      </c>
      <c r="D122" s="74">
        <v>3416.4</v>
      </c>
    </row>
    <row r="123" spans="1:4" ht="13.5" customHeight="1">
      <c r="A123" s="291" t="s">
        <v>99</v>
      </c>
      <c r="B123" s="72" t="s">
        <v>60</v>
      </c>
      <c r="C123" s="74">
        <v>6994.78</v>
      </c>
      <c r="D123" s="74">
        <v>6994.78</v>
      </c>
    </row>
    <row r="124" spans="1:4" ht="19.5" customHeight="1">
      <c r="A124" s="291" t="s">
        <v>99</v>
      </c>
      <c r="B124" s="72" t="s">
        <v>105</v>
      </c>
      <c r="C124" s="74">
        <v>277097</v>
      </c>
      <c r="D124" s="74">
        <v>277097</v>
      </c>
    </row>
    <row r="125" spans="1:4" ht="18.75" customHeight="1">
      <c r="A125" s="154" t="s">
        <v>58</v>
      </c>
      <c r="B125" s="124"/>
      <c r="C125" s="97">
        <f>C122+C123+C124</f>
        <v>287508.18</v>
      </c>
      <c r="D125" s="97">
        <f>D122+D123+D124</f>
        <v>287508.18</v>
      </c>
    </row>
    <row r="126" spans="1:4" ht="19.5" customHeight="1">
      <c r="A126" s="291" t="s">
        <v>100</v>
      </c>
      <c r="B126" s="72" t="s">
        <v>94</v>
      </c>
      <c r="C126" s="74">
        <v>3416.4</v>
      </c>
      <c r="D126" s="74">
        <v>3416.4</v>
      </c>
    </row>
    <row r="127" spans="1:4" ht="14.25" customHeight="1">
      <c r="A127" s="291" t="s">
        <v>100</v>
      </c>
      <c r="B127" s="72" t="s">
        <v>60</v>
      </c>
      <c r="C127" s="74">
        <v>6253.06</v>
      </c>
      <c r="D127" s="74">
        <v>6253.06</v>
      </c>
    </row>
    <row r="128" spans="1:4" ht="21.75" customHeight="1">
      <c r="A128" s="291" t="s">
        <v>100</v>
      </c>
      <c r="B128" s="72" t="s">
        <v>105</v>
      </c>
      <c r="C128" s="74">
        <v>250595</v>
      </c>
      <c r="D128" s="74">
        <v>250595</v>
      </c>
    </row>
    <row r="129" spans="1:4" ht="19.5" customHeight="1">
      <c r="A129" s="154" t="s">
        <v>58</v>
      </c>
      <c r="B129" s="72"/>
      <c r="C129" s="74">
        <f>C126+C127+C128</f>
        <v>260264.46</v>
      </c>
      <c r="D129" s="74">
        <f>D126+D127+D128</f>
        <v>260264.46</v>
      </c>
    </row>
    <row r="130" spans="1:4" ht="18" customHeight="1">
      <c r="A130" s="291" t="s">
        <v>198</v>
      </c>
      <c r="B130" s="72" t="s">
        <v>105</v>
      </c>
      <c r="C130" s="74">
        <v>220143</v>
      </c>
      <c r="D130" s="74">
        <v>220143</v>
      </c>
    </row>
    <row r="131" spans="1:4" ht="15.75" customHeight="1">
      <c r="A131" s="291" t="s">
        <v>198</v>
      </c>
      <c r="B131" s="72" t="s">
        <v>94</v>
      </c>
      <c r="C131" s="74">
        <v>3416.4</v>
      </c>
      <c r="D131" s="74">
        <v>3416.4</v>
      </c>
    </row>
    <row r="132" spans="1:4" ht="21" customHeight="1">
      <c r="A132" s="291" t="s">
        <v>198</v>
      </c>
      <c r="B132" s="72" t="s">
        <v>60</v>
      </c>
      <c r="C132" s="74">
        <f>4434.66+1130.49</f>
        <v>5565.15</v>
      </c>
      <c r="D132" s="74">
        <f>4434.66+1130.49</f>
        <v>5565.15</v>
      </c>
    </row>
    <row r="133" spans="1:4" ht="15" customHeight="1">
      <c r="A133" s="154" t="s">
        <v>58</v>
      </c>
      <c r="B133" s="72"/>
      <c r="C133" s="74">
        <f>C130+C131+C132</f>
        <v>229124.55</v>
      </c>
      <c r="D133" s="74">
        <f>D130+D131+D132</f>
        <v>229124.55</v>
      </c>
    </row>
    <row r="134" spans="1:4" ht="18.75" customHeight="1">
      <c r="A134" s="291" t="s">
        <v>199</v>
      </c>
      <c r="B134" s="72" t="s">
        <v>105</v>
      </c>
      <c r="C134" s="74">
        <v>255109</v>
      </c>
      <c r="D134" s="74">
        <v>255109</v>
      </c>
    </row>
    <row r="135" spans="1:4" ht="12" customHeight="1">
      <c r="A135" s="291" t="s">
        <v>199</v>
      </c>
      <c r="B135" s="72" t="s">
        <v>60</v>
      </c>
      <c r="C135" s="74">
        <v>6398.77</v>
      </c>
      <c r="D135" s="74">
        <v>6398.77</v>
      </c>
    </row>
    <row r="136" spans="1:4" ht="18" customHeight="1">
      <c r="A136" s="291" t="s">
        <v>199</v>
      </c>
      <c r="B136" s="72" t="s">
        <v>202</v>
      </c>
      <c r="C136" s="74">
        <v>3416.4</v>
      </c>
      <c r="D136" s="74">
        <v>3416.4</v>
      </c>
    </row>
    <row r="137" spans="1:4" ht="15.75" customHeight="1">
      <c r="A137" s="154" t="s">
        <v>58</v>
      </c>
      <c r="B137" s="72"/>
      <c r="C137" s="74">
        <f>C134+C135+C136</f>
        <v>264924.17</v>
      </c>
      <c r="D137" s="74">
        <f>D134+D135+D136</f>
        <v>264924.17</v>
      </c>
    </row>
    <row r="138" spans="1:4" ht="15.75" customHeight="1">
      <c r="A138" s="291" t="s">
        <v>200</v>
      </c>
      <c r="B138" s="72" t="s">
        <v>105</v>
      </c>
      <c r="C138" s="74">
        <v>287625</v>
      </c>
      <c r="D138" s="74">
        <v>287625</v>
      </c>
    </row>
    <row r="139" spans="1:4" ht="17.25" customHeight="1">
      <c r="A139" s="291" t="s">
        <v>200</v>
      </c>
      <c r="B139" s="72" t="s">
        <v>94</v>
      </c>
      <c r="C139" s="74">
        <v>3416.4</v>
      </c>
      <c r="D139" s="74">
        <v>3416.4</v>
      </c>
    </row>
    <row r="140" spans="1:4" ht="13.5" customHeight="1">
      <c r="A140" s="291" t="s">
        <v>200</v>
      </c>
      <c r="B140" s="72" t="s">
        <v>60</v>
      </c>
      <c r="C140" s="74">
        <v>7415.77</v>
      </c>
      <c r="D140" s="74">
        <v>7415.77</v>
      </c>
    </row>
    <row r="141" spans="1:5" ht="18" customHeight="1">
      <c r="A141" s="154" t="s">
        <v>58</v>
      </c>
      <c r="B141" s="72"/>
      <c r="C141" s="74">
        <f>C139+C140+C138</f>
        <v>298457.17</v>
      </c>
      <c r="D141" s="74">
        <f>D139+D140+D138</f>
        <v>298457.17</v>
      </c>
      <c r="E141" s="293"/>
    </row>
    <row r="142" spans="1:5" ht="15" customHeight="1">
      <c r="A142" s="154" t="s">
        <v>201</v>
      </c>
      <c r="B142" s="72" t="s">
        <v>94</v>
      </c>
      <c r="C142" s="74">
        <v>3416.4</v>
      </c>
      <c r="D142" s="74">
        <v>3416.4</v>
      </c>
      <c r="E142" s="293"/>
    </row>
    <row r="143" spans="1:5" ht="15" customHeight="1">
      <c r="A143" s="154" t="s">
        <v>201</v>
      </c>
      <c r="B143" s="72" t="s">
        <v>60</v>
      </c>
      <c r="C143" s="74">
        <v>5545.98</v>
      </c>
      <c r="D143" s="74">
        <v>5545.98</v>
      </c>
      <c r="E143" s="293"/>
    </row>
    <row r="144" spans="1:5" ht="18.75" customHeight="1">
      <c r="A144" s="154" t="s">
        <v>201</v>
      </c>
      <c r="B144" s="72" t="s">
        <v>105</v>
      </c>
      <c r="C144" s="74">
        <v>198057</v>
      </c>
      <c r="D144" s="74">
        <v>198057</v>
      </c>
      <c r="E144" s="293"/>
    </row>
    <row r="145" spans="1:5" ht="21" customHeight="1">
      <c r="A145" s="154" t="s">
        <v>58</v>
      </c>
      <c r="B145" s="73"/>
      <c r="C145" s="74">
        <f>C142+C143+C144</f>
        <v>207019.38</v>
      </c>
      <c r="D145" s="74">
        <f>D142+D143+D144</f>
        <v>207019.38</v>
      </c>
      <c r="E145" s="293"/>
    </row>
    <row r="146" spans="1:5" ht="18" customHeight="1">
      <c r="A146" s="291" t="s">
        <v>422</v>
      </c>
      <c r="B146" s="73" t="s">
        <v>205</v>
      </c>
      <c r="C146" s="74">
        <v>4169.88</v>
      </c>
      <c r="D146" s="74">
        <v>4169.88</v>
      </c>
      <c r="E146" s="293"/>
    </row>
    <row r="147" spans="1:4" ht="16.5" customHeight="1">
      <c r="A147" s="291" t="s">
        <v>422</v>
      </c>
      <c r="B147" s="73" t="s">
        <v>102</v>
      </c>
      <c r="C147" s="74">
        <v>21792.74</v>
      </c>
      <c r="D147" s="74">
        <v>21792.74</v>
      </c>
    </row>
    <row r="148" spans="1:4" ht="18" customHeight="1">
      <c r="A148" s="291" t="s">
        <v>422</v>
      </c>
      <c r="B148" s="73" t="s">
        <v>425</v>
      </c>
      <c r="C148" s="74">
        <v>20250</v>
      </c>
      <c r="D148" s="74">
        <v>20250</v>
      </c>
    </row>
    <row r="149" spans="1:4" ht="17.25" customHeight="1">
      <c r="A149" s="291" t="s">
        <v>422</v>
      </c>
      <c r="B149" s="73" t="s">
        <v>423</v>
      </c>
      <c r="C149" s="74">
        <v>859985</v>
      </c>
      <c r="D149" s="74">
        <v>859985</v>
      </c>
    </row>
    <row r="150" spans="1:4" ht="19.5" customHeight="1">
      <c r="A150" s="154" t="s">
        <v>58</v>
      </c>
      <c r="B150" s="73"/>
      <c r="C150" s="74">
        <f>C146+C147+C149+C148</f>
        <v>906197.62</v>
      </c>
      <c r="D150" s="74">
        <f>D146+D147+D149+D148</f>
        <v>906197.62</v>
      </c>
    </row>
    <row r="151" spans="1:4" ht="24.75" customHeight="1">
      <c r="A151" s="154" t="s">
        <v>406</v>
      </c>
      <c r="B151" s="73"/>
      <c r="C151" s="74">
        <f>C155+C158+C162</f>
        <v>168299.61000000002</v>
      </c>
      <c r="D151" s="74">
        <f>D155+D158+D162</f>
        <v>168299.61000000002</v>
      </c>
    </row>
    <row r="152" spans="1:4" ht="18" customHeight="1">
      <c r="A152" s="291" t="s">
        <v>152</v>
      </c>
      <c r="B152" s="73" t="s">
        <v>94</v>
      </c>
      <c r="C152" s="74">
        <v>3290.4</v>
      </c>
      <c r="D152" s="74">
        <v>3290.4</v>
      </c>
    </row>
    <row r="153" spans="1:4" ht="15.75" customHeight="1">
      <c r="A153" s="291" t="s">
        <v>152</v>
      </c>
      <c r="B153" s="72" t="s">
        <v>60</v>
      </c>
      <c r="C153" s="74">
        <f>1366.86-0.4</f>
        <v>1366.4599999999998</v>
      </c>
      <c r="D153" s="74">
        <f>1366.86-0.4</f>
        <v>1366.4599999999998</v>
      </c>
    </row>
    <row r="154" spans="1:4" ht="16.5" customHeight="1">
      <c r="A154" s="291" t="s">
        <v>152</v>
      </c>
      <c r="B154" s="73" t="s">
        <v>94</v>
      </c>
      <c r="C154" s="74">
        <v>55342.8</v>
      </c>
      <c r="D154" s="74">
        <v>55342.8</v>
      </c>
    </row>
    <row r="155" spans="1:4" ht="16.5" customHeight="1">
      <c r="A155" s="154" t="s">
        <v>58</v>
      </c>
      <c r="B155" s="73"/>
      <c r="C155" s="74">
        <f>C152+C154+C153</f>
        <v>59999.66</v>
      </c>
      <c r="D155" s="74">
        <f>D152+D154+D153</f>
        <v>59999.66</v>
      </c>
    </row>
    <row r="156" spans="1:4" ht="16.5" customHeight="1">
      <c r="A156" s="291" t="s">
        <v>181</v>
      </c>
      <c r="B156" s="73" t="s">
        <v>94</v>
      </c>
      <c r="C156" s="74">
        <v>2208</v>
      </c>
      <c r="D156" s="74">
        <v>2208</v>
      </c>
    </row>
    <row r="157" spans="1:4" ht="17.25" customHeight="1">
      <c r="A157" s="291" t="s">
        <v>181</v>
      </c>
      <c r="B157" s="73" t="s">
        <v>94</v>
      </c>
      <c r="C157" s="74">
        <v>56403.6</v>
      </c>
      <c r="D157" s="74">
        <v>56403.6</v>
      </c>
    </row>
    <row r="158" spans="1:4" ht="16.5" customHeight="1">
      <c r="A158" s="154" t="s">
        <v>58</v>
      </c>
      <c r="B158" s="73"/>
      <c r="C158" s="74">
        <f>C156+C157</f>
        <v>58611.6</v>
      </c>
      <c r="D158" s="74">
        <f>D156+D157</f>
        <v>58611.6</v>
      </c>
    </row>
    <row r="159" spans="1:4" ht="17.25" customHeight="1">
      <c r="A159" s="154" t="s">
        <v>84</v>
      </c>
      <c r="B159" s="73" t="s">
        <v>94</v>
      </c>
      <c r="C159" s="74">
        <v>46744.8</v>
      </c>
      <c r="D159" s="74">
        <v>46744.8</v>
      </c>
    </row>
    <row r="160" spans="1:4" ht="18" customHeight="1">
      <c r="A160" s="154" t="s">
        <v>84</v>
      </c>
      <c r="B160" s="73" t="s">
        <v>94</v>
      </c>
      <c r="C160" s="74">
        <v>1792.8</v>
      </c>
      <c r="D160" s="74">
        <v>1792.8</v>
      </c>
    </row>
    <row r="161" spans="1:4" ht="18" customHeight="1">
      <c r="A161" s="154" t="s">
        <v>84</v>
      </c>
      <c r="B161" s="73" t="s">
        <v>60</v>
      </c>
      <c r="C161" s="74">
        <f>1150.35+0.4</f>
        <v>1150.75</v>
      </c>
      <c r="D161" s="74">
        <f>1150.35+0.4</f>
        <v>1150.75</v>
      </c>
    </row>
    <row r="162" spans="1:4" ht="18" customHeight="1">
      <c r="A162" s="154" t="s">
        <v>58</v>
      </c>
      <c r="B162" s="73"/>
      <c r="C162" s="74">
        <f>C159+C160+C161</f>
        <v>49688.350000000006</v>
      </c>
      <c r="D162" s="74">
        <f>D159+D160+D161</f>
        <v>49688.350000000006</v>
      </c>
    </row>
    <row r="163" spans="1:4" ht="26.25" customHeight="1">
      <c r="A163" s="108" t="s">
        <v>86</v>
      </c>
      <c r="B163" s="73"/>
      <c r="C163" s="245">
        <f>C166</f>
        <v>158302.12</v>
      </c>
      <c r="D163" s="245">
        <f>D166</f>
        <v>158302.12</v>
      </c>
    </row>
    <row r="164" spans="1:4" ht="16.5" customHeight="1">
      <c r="A164" s="279" t="s">
        <v>87</v>
      </c>
      <c r="B164" s="73" t="s">
        <v>62</v>
      </c>
      <c r="C164" s="73">
        <v>154441.09</v>
      </c>
      <c r="D164" s="73">
        <v>154441.09</v>
      </c>
    </row>
    <row r="165" spans="1:4" ht="19.5" customHeight="1">
      <c r="A165" s="279" t="s">
        <v>87</v>
      </c>
      <c r="B165" s="72" t="s">
        <v>60</v>
      </c>
      <c r="C165" s="73">
        <v>3861.03</v>
      </c>
      <c r="D165" s="73">
        <v>3861.03</v>
      </c>
    </row>
    <row r="166" spans="1:4" ht="18" customHeight="1">
      <c r="A166" s="154" t="s">
        <v>58</v>
      </c>
      <c r="B166" s="73"/>
      <c r="C166" s="73">
        <f>C164+C165</f>
        <v>158302.12</v>
      </c>
      <c r="D166" s="73">
        <f>D164+D165</f>
        <v>158302.12</v>
      </c>
    </row>
    <row r="167" spans="1:4" ht="34.5" customHeight="1">
      <c r="A167" s="294" t="s">
        <v>88</v>
      </c>
      <c r="B167" s="73"/>
      <c r="C167" s="74">
        <f>C170+C174+C179</f>
        <v>816604.07</v>
      </c>
      <c r="D167" s="74">
        <f>D170+D174+D179</f>
        <v>816604.0699999998</v>
      </c>
    </row>
    <row r="168" spans="1:4" ht="19.5" customHeight="1">
      <c r="A168" s="294" t="s">
        <v>89</v>
      </c>
      <c r="B168" s="73" t="s">
        <v>137</v>
      </c>
      <c r="C168" s="155">
        <v>11368</v>
      </c>
      <c r="D168" s="74">
        <v>11368</v>
      </c>
    </row>
    <row r="169" spans="1:4" ht="15.75" customHeight="1">
      <c r="A169" s="294" t="s">
        <v>89</v>
      </c>
      <c r="B169" s="73" t="s">
        <v>369</v>
      </c>
      <c r="C169" s="155">
        <v>138807</v>
      </c>
      <c r="D169" s="74">
        <v>138807</v>
      </c>
    </row>
    <row r="170" spans="1:4" ht="15.75" customHeight="1">
      <c r="A170" s="154" t="s">
        <v>58</v>
      </c>
      <c r="B170" s="73"/>
      <c r="C170" s="74">
        <f>C168+C169</f>
        <v>150175</v>
      </c>
      <c r="D170" s="74">
        <f>D168+D169</f>
        <v>150175</v>
      </c>
    </row>
    <row r="171" spans="1:4" ht="18" customHeight="1">
      <c r="A171" s="295" t="s">
        <v>90</v>
      </c>
      <c r="B171" s="73" t="s">
        <v>301</v>
      </c>
      <c r="C171" s="73">
        <v>23809.28</v>
      </c>
      <c r="D171" s="73">
        <v>23809.28</v>
      </c>
    </row>
    <row r="172" spans="1:4" ht="15" customHeight="1">
      <c r="A172" s="295" t="s">
        <v>90</v>
      </c>
      <c r="B172" s="73" t="s">
        <v>60</v>
      </c>
      <c r="C172" s="73">
        <v>3065.42</v>
      </c>
      <c r="D172" s="73">
        <v>3065.42</v>
      </c>
    </row>
    <row r="173" spans="1:4" ht="21.75" customHeight="1">
      <c r="A173" s="295" t="s">
        <v>90</v>
      </c>
      <c r="B173" s="73" t="s">
        <v>369</v>
      </c>
      <c r="C173" s="73">
        <f>108980.93+223144.37</f>
        <v>332125.3</v>
      </c>
      <c r="D173" s="73">
        <f>108980.93+223144.37</f>
        <v>332125.3</v>
      </c>
    </row>
    <row r="174" spans="1:4" ht="16.5" customHeight="1">
      <c r="A174" s="154" t="s">
        <v>58</v>
      </c>
      <c r="B174" s="73"/>
      <c r="C174" s="74">
        <f>C171+C172+C173</f>
        <v>359000</v>
      </c>
      <c r="D174" s="74">
        <f>D171+D173+D172</f>
        <v>358999.99999999994</v>
      </c>
    </row>
    <row r="175" spans="1:4" ht="18.75" customHeight="1">
      <c r="A175" s="291" t="s">
        <v>421</v>
      </c>
      <c r="B175" s="73" t="s">
        <v>137</v>
      </c>
      <c r="C175" s="74">
        <v>12631</v>
      </c>
      <c r="D175" s="74">
        <v>12631</v>
      </c>
    </row>
    <row r="176" spans="1:4" ht="18.75" customHeight="1">
      <c r="A176" s="291" t="s">
        <v>421</v>
      </c>
      <c r="B176" s="73" t="s">
        <v>424</v>
      </c>
      <c r="C176" s="155">
        <v>282055.22</v>
      </c>
      <c r="D176" s="155">
        <v>282055.22</v>
      </c>
    </row>
    <row r="177" spans="1:4" ht="16.5" customHeight="1">
      <c r="A177" s="291" t="s">
        <v>421</v>
      </c>
      <c r="B177" s="73" t="s">
        <v>102</v>
      </c>
      <c r="C177" s="155">
        <v>7882.85</v>
      </c>
      <c r="D177" s="155">
        <v>7882.85</v>
      </c>
    </row>
    <row r="178" spans="1:4" ht="21" customHeight="1">
      <c r="A178" s="291" t="s">
        <v>421</v>
      </c>
      <c r="B178" s="73" t="s">
        <v>135</v>
      </c>
      <c r="C178" s="155">
        <v>4860</v>
      </c>
      <c r="D178" s="155">
        <v>4860</v>
      </c>
    </row>
    <row r="179" spans="1:4" ht="16.5" customHeight="1">
      <c r="A179" s="154" t="s">
        <v>58</v>
      </c>
      <c r="B179" s="73"/>
      <c r="C179" s="74">
        <f>C175+C178+C177+C176</f>
        <v>307429.06999999995</v>
      </c>
      <c r="D179" s="74">
        <f>D175+D178+D177+D176</f>
        <v>307429.06999999995</v>
      </c>
    </row>
    <row r="180" spans="1:4" ht="15.75" customHeight="1">
      <c r="A180" s="154"/>
      <c r="B180" s="73"/>
      <c r="C180" s="74">
        <f>C4+C62+C67+C70+C75+C76+C170+C174</f>
        <v>13053003.190000001</v>
      </c>
      <c r="D180" s="74">
        <f>D4+D62+D67+D70+D75+D76+D170+D174</f>
        <v>13053003.190000001</v>
      </c>
    </row>
    <row r="181" spans="1:4" ht="16.5" customHeight="1">
      <c r="A181" s="257"/>
      <c r="B181" s="73"/>
      <c r="C181" s="74">
        <f>C163+C179+C63</f>
        <v>531470.84</v>
      </c>
      <c r="D181" s="74">
        <f>D163+D179+D63</f>
        <v>531470.84</v>
      </c>
    </row>
    <row r="182" spans="1:4" ht="15.75" customHeight="1">
      <c r="A182" s="257" t="s">
        <v>103</v>
      </c>
      <c r="B182" s="73"/>
      <c r="C182" s="74">
        <f>C180+C181</f>
        <v>13584474.030000001</v>
      </c>
      <c r="D182" s="74">
        <f>D180+D181</f>
        <v>13584474.030000001</v>
      </c>
    </row>
    <row r="183" spans="1:4" ht="15.75">
      <c r="A183" s="100" t="s">
        <v>451</v>
      </c>
      <c r="B183" s="161"/>
      <c r="C183" s="100"/>
      <c r="D183" s="161"/>
    </row>
    <row r="184" spans="1:4" ht="15.75">
      <c r="A184" s="100" t="s">
        <v>452</v>
      </c>
      <c r="B184" s="161"/>
      <c r="C184" s="100"/>
      <c r="D184" s="161"/>
    </row>
    <row r="185" spans="1:4" ht="15.75">
      <c r="A185" s="100" t="s">
        <v>53</v>
      </c>
      <c r="B185" s="159"/>
      <c r="C185" s="100"/>
      <c r="D185" s="159"/>
    </row>
    <row r="186" spans="1:4" ht="15.75">
      <c r="A186" s="100"/>
      <c r="B186" s="161"/>
      <c r="C186" s="100"/>
      <c r="D186" s="161"/>
    </row>
    <row r="187" spans="1:4" ht="15.75">
      <c r="A187" s="100"/>
      <c r="B187" s="161"/>
      <c r="C187" s="100"/>
      <c r="D187" s="161"/>
    </row>
    <row r="188" spans="1:4" ht="15.75">
      <c r="A188" s="100"/>
      <c r="B188" s="161"/>
      <c r="C188" s="100"/>
      <c r="D188" s="161"/>
    </row>
    <row r="189" spans="1:4" ht="15.75">
      <c r="A189" s="100"/>
      <c r="B189" s="159"/>
      <c r="C189" s="100"/>
      <c r="D189" s="159"/>
    </row>
    <row r="190" spans="1:4" ht="15.75">
      <c r="A190" s="100"/>
      <c r="B190" s="161"/>
      <c r="C190" s="100"/>
      <c r="D190" s="16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</sheetPr>
  <dimension ref="A1:D15"/>
  <sheetViews>
    <sheetView zoomScalePageLayoutView="0" workbookViewId="0" topLeftCell="A1">
      <selection activeCell="A11" sqref="A11:B15"/>
    </sheetView>
  </sheetViews>
  <sheetFormatPr defaultColWidth="9.140625" defaultRowHeight="12.75"/>
  <cols>
    <col min="1" max="1" width="54.140625" style="0" customWidth="1"/>
    <col min="2" max="2" width="23.7109375" style="0" customWidth="1"/>
    <col min="3" max="3" width="26.28125" style="0" customWidth="1"/>
    <col min="4" max="4" width="18.57421875" style="0" customWidth="1"/>
  </cols>
  <sheetData>
    <row r="1" spans="1:4" ht="15">
      <c r="A1" s="193" t="s">
        <v>462</v>
      </c>
      <c r="B1" s="297"/>
      <c r="C1" s="297"/>
      <c r="D1" s="297"/>
    </row>
    <row r="2" spans="1:4" ht="39.75" customHeight="1">
      <c r="A2" s="273" t="s">
        <v>37</v>
      </c>
      <c r="B2" s="120" t="s">
        <v>3</v>
      </c>
      <c r="C2" s="273" t="s">
        <v>4</v>
      </c>
      <c r="D2" s="274" t="s">
        <v>1</v>
      </c>
    </row>
    <row r="3" spans="1:4" ht="15.75" customHeight="1">
      <c r="A3" s="326" t="s">
        <v>236</v>
      </c>
      <c r="B3" s="327"/>
      <c r="C3" s="327"/>
      <c r="D3" s="327"/>
    </row>
    <row r="4" spans="1:4" ht="18" customHeight="1">
      <c r="A4" s="337" t="s">
        <v>121</v>
      </c>
      <c r="B4" s="25" t="s">
        <v>62</v>
      </c>
      <c r="C4" s="25">
        <f>394298.19+698776.43+815517.43+607546.2+379536.5+2353202.19+68843.74+109592.57+226190.45</f>
        <v>5653503.7</v>
      </c>
      <c r="D4" s="38">
        <f>394298.19+698776.43+815517.43+607546.2+379536.5+2353202.19+68843.74+109592.57+226190.45</f>
        <v>5653503.7</v>
      </c>
    </row>
    <row r="5" spans="1:4" ht="27.75" customHeight="1">
      <c r="A5" s="337"/>
      <c r="B5" s="25" t="s">
        <v>167</v>
      </c>
      <c r="C5" s="54">
        <v>13869.6</v>
      </c>
      <c r="D5" s="65">
        <v>13869.6</v>
      </c>
    </row>
    <row r="6" spans="1:4" ht="18" customHeight="1">
      <c r="A6" s="338"/>
      <c r="B6" s="25" t="s">
        <v>60</v>
      </c>
      <c r="C6" s="25">
        <f>9140.06+17209.32+20194.34+15109.96+9366.79+55689.79+2717.64+5303.06</f>
        <v>134730.96000000002</v>
      </c>
      <c r="D6" s="38">
        <f>9140.06+17209.32+20194.34+15109.96+9366.79+55689.79+2717.64+5303.06</f>
        <v>134730.96000000002</v>
      </c>
    </row>
    <row r="7" spans="1:4" ht="44.25" customHeight="1">
      <c r="A7" s="207" t="s">
        <v>408</v>
      </c>
      <c r="B7" s="25"/>
      <c r="C7" s="25">
        <f>382469.24+8865.86+16693.04+677813.14+791051.91+19588.51+589319.81+14656.67+9085.79+368150.4+2284662.33+54067.75+66778.43+2636.11+106304.79+224548.7</f>
        <v>5616692.4799999995</v>
      </c>
      <c r="D7" s="26">
        <f>382469.24+8865.86+16693.04+677813.14+791051.91+19588.51+589319.81+14656.67+9085.79+368150.4+2284662.33+54067.75+66778.43+2636.11+106304.79+224548.7</f>
        <v>5616692.4799999995</v>
      </c>
    </row>
    <row r="8" spans="1:4" ht="16.5" customHeight="1">
      <c r="A8" s="207" t="s">
        <v>122</v>
      </c>
      <c r="B8" s="25"/>
      <c r="C8" s="25">
        <f>11828.95+274.2+516.28+20963.29+24465.52+605.83+18226.39+453.29+281+11386.1+13869.6+68539.86+1622.04+2065.31+81.53+3287.78+6944.81</f>
        <v>185411.78</v>
      </c>
      <c r="D8" s="26">
        <f>11828.95+274.2+516.28+20963.29+24465.52+605.83+18226.39+453.29+281+11386.1+13869.6+68539.86+1622.04+2065.31+81.53+3287.78+6944.81</f>
        <v>185411.78</v>
      </c>
    </row>
    <row r="9" spans="1:4" ht="16.5" customHeight="1">
      <c r="A9" s="299" t="s">
        <v>15</v>
      </c>
      <c r="B9" s="110"/>
      <c r="C9" s="54">
        <f>C10</f>
        <v>5802104.26</v>
      </c>
      <c r="D9" s="54">
        <f>D10</f>
        <v>5802104.26</v>
      </c>
    </row>
    <row r="10" spans="1:4" ht="19.5" customHeight="1">
      <c r="A10" s="300" t="s">
        <v>16</v>
      </c>
      <c r="B10" s="25"/>
      <c r="C10" s="54">
        <f>C7+C8</f>
        <v>5802104.26</v>
      </c>
      <c r="D10" s="54">
        <f>D7+D8</f>
        <v>5802104.26</v>
      </c>
    </row>
    <row r="11" spans="1:2" ht="15.75">
      <c r="A11" s="100" t="s">
        <v>451</v>
      </c>
      <c r="B11" s="161"/>
    </row>
    <row r="12" spans="1:2" ht="15.75">
      <c r="A12" s="100" t="s">
        <v>452</v>
      </c>
      <c r="B12" s="161"/>
    </row>
    <row r="13" spans="1:2" ht="15.75">
      <c r="A13" s="100" t="s">
        <v>53</v>
      </c>
      <c r="B13" s="159"/>
    </row>
    <row r="14" spans="1:2" ht="15.75">
      <c r="A14" s="100"/>
      <c r="B14" s="161"/>
    </row>
    <row r="15" spans="1:2" ht="15.75">
      <c r="A15" s="100"/>
      <c r="B15" s="161"/>
    </row>
  </sheetData>
  <sheetProtection/>
  <mergeCells count="2">
    <mergeCell ref="A4:A6"/>
    <mergeCell ref="A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</sheetPr>
  <dimension ref="A1:D23"/>
  <sheetViews>
    <sheetView zoomScalePageLayoutView="0" workbookViewId="0" topLeftCell="A1">
      <selection activeCell="A9" sqref="A9:A12"/>
    </sheetView>
  </sheetViews>
  <sheetFormatPr defaultColWidth="9.140625" defaultRowHeight="12.75"/>
  <cols>
    <col min="1" max="1" width="77.00390625" style="0" customWidth="1"/>
    <col min="2" max="2" width="19.8515625" style="0" customWidth="1"/>
    <col min="3" max="3" width="16.421875" style="0" customWidth="1"/>
    <col min="4" max="4" width="14.7109375" style="0" customWidth="1"/>
  </cols>
  <sheetData>
    <row r="1" spans="1:4" ht="15.75">
      <c r="A1" s="275" t="s">
        <v>463</v>
      </c>
      <c r="B1" s="271"/>
      <c r="C1" s="271"/>
      <c r="D1" s="271"/>
    </row>
    <row r="2" spans="1:4" ht="58.5" customHeight="1">
      <c r="A2" s="202" t="s">
        <v>37</v>
      </c>
      <c r="B2" s="66" t="s">
        <v>3</v>
      </c>
      <c r="C2" s="202" t="s">
        <v>4</v>
      </c>
      <c r="D2" s="203" t="s">
        <v>1</v>
      </c>
    </row>
    <row r="3" spans="1:4" ht="19.5" customHeight="1">
      <c r="A3" s="326" t="s">
        <v>235</v>
      </c>
      <c r="B3" s="327"/>
      <c r="C3" s="327"/>
      <c r="D3" s="327"/>
    </row>
    <row r="4" spans="1:4" ht="54.75" customHeight="1">
      <c r="A4" s="326" t="s">
        <v>409</v>
      </c>
      <c r="B4" s="327"/>
      <c r="C4" s="327"/>
      <c r="D4" s="327"/>
    </row>
    <row r="5" spans="1:4" ht="30" customHeight="1">
      <c r="A5" s="46" t="s">
        <v>13</v>
      </c>
      <c r="B5" s="47"/>
      <c r="C5" s="52">
        <f>C8</f>
        <v>4887086.3100000005</v>
      </c>
      <c r="D5" s="52">
        <f>D8</f>
        <v>4887086.3100000005</v>
      </c>
    </row>
    <row r="6" spans="1:4" ht="36" customHeight="1">
      <c r="A6" s="163" t="s">
        <v>190</v>
      </c>
      <c r="B6" s="47" t="s">
        <v>170</v>
      </c>
      <c r="C6" s="52">
        <f>1463677.4+784242.12+2497503.1-4.59+23360.09</f>
        <v>4768778.12</v>
      </c>
      <c r="D6" s="51">
        <f>1463677.4+784242.12+2497503.1-4.59+23360.09</f>
        <v>4768778.12</v>
      </c>
    </row>
    <row r="7" spans="1:4" ht="24.75" customHeight="1">
      <c r="A7" s="163" t="s">
        <v>190</v>
      </c>
      <c r="B7" s="47" t="s">
        <v>60</v>
      </c>
      <c r="C7" s="52">
        <f>18774.11+98968.63+565.45</f>
        <v>118308.19</v>
      </c>
      <c r="D7" s="51">
        <f>18774.11+98968.63+565.45</f>
        <v>118308.19</v>
      </c>
    </row>
    <row r="8" spans="1:4" ht="12.75">
      <c r="A8" s="303" t="s">
        <v>191</v>
      </c>
      <c r="B8" s="94"/>
      <c r="C8" s="304">
        <f>C6+C7</f>
        <v>4887086.3100000005</v>
      </c>
      <c r="D8" s="305">
        <f>D6+D7</f>
        <v>4887086.3100000005</v>
      </c>
    </row>
    <row r="9" spans="1:2" ht="15.75">
      <c r="A9" s="100" t="s">
        <v>451</v>
      </c>
      <c r="B9" s="161"/>
    </row>
    <row r="10" spans="1:2" ht="15.75">
      <c r="A10" s="100" t="s">
        <v>452</v>
      </c>
      <c r="B10" s="161"/>
    </row>
    <row r="11" spans="1:2" ht="15.75">
      <c r="A11" s="100" t="s">
        <v>53</v>
      </c>
      <c r="B11" s="159"/>
    </row>
    <row r="12" spans="1:2" ht="15.75">
      <c r="A12" s="100"/>
      <c r="B12" s="161"/>
    </row>
    <row r="13" spans="1:2" ht="15.75">
      <c r="A13" s="100"/>
      <c r="B13" s="161"/>
    </row>
    <row r="14" spans="1:2" ht="15.75">
      <c r="A14" s="100"/>
      <c r="B14" s="161"/>
    </row>
    <row r="15" spans="1:2" ht="15.75">
      <c r="A15" s="100"/>
      <c r="B15" s="161"/>
    </row>
    <row r="16" spans="1:2" ht="15.75">
      <c r="A16" s="100"/>
      <c r="B16" s="159"/>
    </row>
    <row r="17" spans="1:2" ht="15.75">
      <c r="A17" s="100"/>
      <c r="B17" s="161"/>
    </row>
    <row r="18" spans="1:2" ht="15.75">
      <c r="A18" s="100"/>
      <c r="B18" s="161"/>
    </row>
    <row r="19" spans="1:2" ht="15.75">
      <c r="A19" s="100"/>
      <c r="B19" s="161"/>
    </row>
    <row r="20" spans="1:2" ht="15.75">
      <c r="A20" s="100"/>
      <c r="B20" s="161"/>
    </row>
    <row r="21" spans="1:2" ht="15.75">
      <c r="A21" s="100"/>
      <c r="B21" s="159"/>
    </row>
    <row r="22" spans="1:2" ht="15.75">
      <c r="A22" s="100"/>
      <c r="B22" s="161"/>
    </row>
    <row r="23" spans="1:2" ht="15.75">
      <c r="A23" s="100"/>
      <c r="B23" s="161"/>
    </row>
  </sheetData>
  <sheetProtection/>
  <mergeCells count="2">
    <mergeCell ref="A4:D4"/>
    <mergeCell ref="A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00000"/>
  </sheetPr>
  <dimension ref="A1:D19"/>
  <sheetViews>
    <sheetView zoomScalePageLayoutView="0" workbookViewId="0" topLeftCell="A1">
      <selection activeCell="A9" sqref="A9:B13"/>
    </sheetView>
  </sheetViews>
  <sheetFormatPr defaultColWidth="9.140625" defaultRowHeight="12.75"/>
  <cols>
    <col min="1" max="1" width="38.140625" style="0" customWidth="1"/>
    <col min="2" max="2" width="23.7109375" style="0" customWidth="1"/>
    <col min="3" max="3" width="10.421875" style="0" customWidth="1"/>
    <col min="4" max="4" width="28.00390625" style="0" customWidth="1"/>
  </cols>
  <sheetData>
    <row r="1" spans="1:4" ht="12.75">
      <c r="A1" s="275" t="s">
        <v>464</v>
      </c>
      <c r="B1" s="275"/>
      <c r="C1" s="275"/>
      <c r="D1" s="275"/>
    </row>
    <row r="2" spans="1:4" ht="43.5" customHeight="1">
      <c r="A2" s="307" t="s">
        <v>37</v>
      </c>
      <c r="B2" s="308" t="s">
        <v>3</v>
      </c>
      <c r="C2" s="195" t="s">
        <v>4</v>
      </c>
      <c r="D2" s="196" t="s">
        <v>1</v>
      </c>
    </row>
    <row r="3" spans="1:4" ht="15">
      <c r="A3" s="339" t="s">
        <v>321</v>
      </c>
      <c r="B3" s="340"/>
      <c r="C3" s="340"/>
      <c r="D3" s="340"/>
    </row>
    <row r="4" spans="1:4" ht="31.5" customHeight="1">
      <c r="A4" s="46" t="s">
        <v>13</v>
      </c>
      <c r="B4" s="47"/>
      <c r="C4" s="52">
        <f>C8</f>
        <v>915751.19</v>
      </c>
      <c r="D4" s="52">
        <f>D8</f>
        <v>915751.19</v>
      </c>
    </row>
    <row r="5" spans="1:4" ht="21.75" customHeight="1">
      <c r="A5" s="117" t="s">
        <v>322</v>
      </c>
      <c r="B5" s="162"/>
      <c r="C5" s="47"/>
      <c r="D5" s="118"/>
    </row>
    <row r="6" spans="1:4" ht="17.25" customHeight="1">
      <c r="A6" s="149" t="s">
        <v>221</v>
      </c>
      <c r="B6" s="306" t="s">
        <v>316</v>
      </c>
      <c r="C6" s="47">
        <f>498097.2+106342.56+31825.76</f>
        <v>636265.52</v>
      </c>
      <c r="D6" s="112">
        <f>498097.2+106342.56+31825.76</f>
        <v>636265.52</v>
      </c>
    </row>
    <row r="7" spans="1:4" ht="20.25" customHeight="1">
      <c r="A7" s="149" t="s">
        <v>221</v>
      </c>
      <c r="B7" s="84" t="s">
        <v>60</v>
      </c>
      <c r="C7" s="47">
        <f>279485.7-0.03</f>
        <v>279485.67</v>
      </c>
      <c r="D7" s="112">
        <f>279485.7-0.03</f>
        <v>279485.67</v>
      </c>
    </row>
    <row r="8" spans="1:4" ht="12" customHeight="1">
      <c r="A8" s="237" t="s">
        <v>16</v>
      </c>
      <c r="B8" s="47"/>
      <c r="C8" s="52">
        <f>C6+C7</f>
        <v>915751.19</v>
      </c>
      <c r="D8" s="52">
        <f>D6+D7</f>
        <v>915751.19</v>
      </c>
    </row>
    <row r="9" spans="1:4" ht="12.75">
      <c r="A9" s="100" t="s">
        <v>451</v>
      </c>
      <c r="B9" s="27"/>
      <c r="C9" s="27"/>
      <c r="D9" s="28"/>
    </row>
    <row r="10" spans="1:4" ht="12.75">
      <c r="A10" s="100" t="s">
        <v>452</v>
      </c>
      <c r="B10" s="28"/>
      <c r="C10" s="29"/>
      <c r="D10" s="29"/>
    </row>
    <row r="11" spans="1:4" ht="15.75">
      <c r="A11" s="100" t="s">
        <v>53</v>
      </c>
      <c r="B11" s="92"/>
      <c r="C11" s="161"/>
      <c r="D11" s="29"/>
    </row>
    <row r="12" spans="1:4" ht="15.75">
      <c r="A12" s="100"/>
      <c r="B12" s="92"/>
      <c r="C12" s="41"/>
      <c r="D12" s="29"/>
    </row>
    <row r="13" spans="1:4" ht="15.75">
      <c r="A13" s="159"/>
      <c r="B13" s="93"/>
      <c r="C13" s="160"/>
      <c r="D13" s="29"/>
    </row>
    <row r="14" spans="1:4" ht="15.75">
      <c r="A14" s="39"/>
      <c r="B14" s="92"/>
      <c r="C14" s="41"/>
      <c r="D14" s="29"/>
    </row>
    <row r="15" spans="1:4" ht="15.75">
      <c r="A15" s="30"/>
      <c r="B15" s="92"/>
      <c r="C15" s="41"/>
      <c r="D15" s="29"/>
    </row>
    <row r="16" spans="1:4" ht="12.75">
      <c r="A16" s="31"/>
      <c r="B16" s="95"/>
      <c r="C16" s="29"/>
      <c r="D16" s="29"/>
    </row>
    <row r="17" spans="1:4" ht="12.75">
      <c r="A17" s="31"/>
      <c r="B17" s="32"/>
      <c r="C17" s="32"/>
      <c r="D17" s="32"/>
    </row>
    <row r="18" spans="1:4" ht="12.75">
      <c r="A18" s="31"/>
      <c r="B18" s="32"/>
      <c r="C18" s="32"/>
      <c r="D18" s="32"/>
    </row>
    <row r="19" spans="1:4" ht="12.75">
      <c r="A19" s="31"/>
      <c r="B19" s="32"/>
      <c r="C19" s="32"/>
      <c r="D19" s="32"/>
    </row>
  </sheetData>
  <sheetProtection/>
  <mergeCells count="1">
    <mergeCell ref="A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00000"/>
  </sheetPr>
  <dimension ref="A1:D16"/>
  <sheetViews>
    <sheetView zoomScalePageLayoutView="0" workbookViewId="0" topLeftCell="A1">
      <selection activeCell="A8" sqref="A8:B13"/>
    </sheetView>
  </sheetViews>
  <sheetFormatPr defaultColWidth="9.140625" defaultRowHeight="12.75"/>
  <cols>
    <col min="1" max="1" width="37.8515625" style="0" customWidth="1"/>
    <col min="2" max="2" width="24.140625" style="0" customWidth="1"/>
    <col min="3" max="3" width="18.7109375" style="0" customWidth="1"/>
    <col min="4" max="4" width="20.421875" style="0" customWidth="1"/>
  </cols>
  <sheetData>
    <row r="1" spans="1:4" ht="12.75">
      <c r="A1" s="301" t="s">
        <v>465</v>
      </c>
      <c r="B1" s="311"/>
      <c r="C1" s="311"/>
      <c r="D1" s="311"/>
    </row>
    <row r="2" spans="1:4" ht="62.25" customHeight="1">
      <c r="A2" s="202" t="s">
        <v>37</v>
      </c>
      <c r="B2" s="66" t="s">
        <v>3</v>
      </c>
      <c r="C2" s="202" t="s">
        <v>4</v>
      </c>
      <c r="D2" s="203" t="s">
        <v>1</v>
      </c>
    </row>
    <row r="3" spans="1:4" ht="23.25" customHeight="1">
      <c r="A3" s="341" t="s">
        <v>323</v>
      </c>
      <c r="B3" s="342"/>
      <c r="C3" s="342"/>
      <c r="D3" s="342"/>
    </row>
    <row r="4" spans="1:4" ht="36.75" customHeight="1">
      <c r="A4" s="326" t="s">
        <v>410</v>
      </c>
      <c r="B4" s="329"/>
      <c r="C4" s="329"/>
      <c r="D4" s="329"/>
    </row>
    <row r="5" spans="1:4" ht="31.5" customHeight="1">
      <c r="A5" s="82" t="s">
        <v>13</v>
      </c>
      <c r="B5" s="67"/>
      <c r="C5" s="68">
        <f>C6</f>
        <v>749000</v>
      </c>
      <c r="D5" s="68">
        <f>D6</f>
        <v>749000</v>
      </c>
    </row>
    <row r="6" spans="1:4" ht="33" customHeight="1">
      <c r="A6" s="46" t="s">
        <v>434</v>
      </c>
      <c r="B6" s="66" t="s">
        <v>160</v>
      </c>
      <c r="C6" s="52">
        <v>749000</v>
      </c>
      <c r="D6" s="51">
        <v>749000</v>
      </c>
    </row>
    <row r="7" spans="1:4" ht="21" customHeight="1">
      <c r="A7" s="237" t="s">
        <v>16</v>
      </c>
      <c r="B7" s="47"/>
      <c r="C7" s="52">
        <f>C6</f>
        <v>749000</v>
      </c>
      <c r="D7" s="52">
        <f>D6</f>
        <v>749000</v>
      </c>
    </row>
    <row r="8" spans="1:4" ht="12.75">
      <c r="A8" s="100" t="s">
        <v>451</v>
      </c>
      <c r="B8" s="27"/>
      <c r="C8" s="309"/>
      <c r="D8" s="298"/>
    </row>
    <row r="9" spans="1:4" ht="12.75">
      <c r="A9" s="100" t="s">
        <v>452</v>
      </c>
      <c r="B9" s="28"/>
      <c r="C9" s="27"/>
      <c r="D9" s="28"/>
    </row>
    <row r="10" spans="1:4" ht="15.75">
      <c r="A10" s="100" t="s">
        <v>53</v>
      </c>
      <c r="B10" s="161"/>
      <c r="C10" s="29"/>
      <c r="D10" s="29"/>
    </row>
    <row r="11" spans="1:4" ht="15.75">
      <c r="A11" s="100"/>
      <c r="B11" s="161"/>
      <c r="C11" s="161"/>
      <c r="D11" s="29"/>
    </row>
    <row r="12" spans="1:4" ht="15.75">
      <c r="A12" s="159"/>
      <c r="B12" s="159"/>
      <c r="C12" s="41"/>
      <c r="D12" s="29"/>
    </row>
    <row r="13" spans="1:4" ht="15.75">
      <c r="A13" s="159"/>
      <c r="B13" s="93"/>
      <c r="C13" s="160"/>
      <c r="D13" s="29"/>
    </row>
    <row r="14" spans="1:4" ht="15.75">
      <c r="A14" s="39"/>
      <c r="B14" s="92"/>
      <c r="C14" s="41"/>
      <c r="D14" s="29"/>
    </row>
    <row r="15" spans="1:4" ht="12.75">
      <c r="A15" s="30"/>
      <c r="B15" s="95"/>
      <c r="C15" s="29"/>
      <c r="D15" s="29"/>
    </row>
    <row r="16" spans="1:4" ht="12.75">
      <c r="A16" s="31"/>
      <c r="B16" s="95"/>
      <c r="C16" s="29"/>
      <c r="D16" s="29"/>
    </row>
  </sheetData>
  <sheetProtection/>
  <mergeCells count="2">
    <mergeCell ref="A3:D3"/>
    <mergeCell ref="A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6" sqref="A6:B10"/>
    </sheetView>
  </sheetViews>
  <sheetFormatPr defaultColWidth="9.140625" defaultRowHeight="12.75"/>
  <cols>
    <col min="1" max="1" width="50.7109375" style="0" customWidth="1"/>
    <col min="2" max="2" width="21.8515625" style="0" customWidth="1"/>
    <col min="3" max="3" width="18.8515625" style="0" customWidth="1"/>
    <col min="4" max="4" width="25.8515625" style="0" customWidth="1"/>
  </cols>
  <sheetData>
    <row r="1" spans="1:4" ht="18" customHeight="1">
      <c r="A1" s="288" t="s">
        <v>466</v>
      </c>
      <c r="B1" s="239"/>
      <c r="C1" s="239"/>
      <c r="D1" s="239"/>
    </row>
    <row r="2" spans="1:4" ht="48">
      <c r="A2" s="56" t="s">
        <v>37</v>
      </c>
      <c r="B2" s="312" t="s">
        <v>0</v>
      </c>
      <c r="C2" s="56" t="s">
        <v>35</v>
      </c>
      <c r="D2" s="267" t="s">
        <v>1</v>
      </c>
    </row>
    <row r="3" spans="1:4" ht="37.5" customHeight="1">
      <c r="A3" s="154" t="s">
        <v>24</v>
      </c>
      <c r="B3" s="14"/>
      <c r="C3" s="60">
        <f>C5</f>
        <v>199000</v>
      </c>
      <c r="D3" s="62">
        <f>D4</f>
        <v>199000</v>
      </c>
    </row>
    <row r="4" spans="1:4" ht="56.25" customHeight="1">
      <c r="A4" s="104" t="s">
        <v>276</v>
      </c>
      <c r="B4" s="164" t="s">
        <v>277</v>
      </c>
      <c r="C4" s="105">
        <v>199000</v>
      </c>
      <c r="D4" s="78">
        <v>199000</v>
      </c>
    </row>
    <row r="5" spans="1:4" ht="12.75">
      <c r="A5" s="173" t="s">
        <v>5</v>
      </c>
      <c r="B5" s="313">
        <v>2240</v>
      </c>
      <c r="C5" s="314">
        <f>C4</f>
        <v>199000</v>
      </c>
      <c r="D5" s="81">
        <f>D4</f>
        <v>199000</v>
      </c>
    </row>
    <row r="6" spans="1:4" ht="12.75">
      <c r="A6" s="100" t="s">
        <v>451</v>
      </c>
      <c r="B6" s="27"/>
      <c r="C6" s="4"/>
      <c r="D6" s="4"/>
    </row>
    <row r="7" spans="1:4" ht="12.75">
      <c r="A7" s="100" t="s">
        <v>452</v>
      </c>
      <c r="B7" s="28"/>
      <c r="C7" s="4"/>
      <c r="D7" s="4"/>
    </row>
    <row r="8" spans="1:4" ht="15.75">
      <c r="A8" s="100" t="s">
        <v>53</v>
      </c>
      <c r="B8" s="161"/>
      <c r="C8" s="4"/>
      <c r="D8" s="4"/>
    </row>
    <row r="9" spans="1:2" ht="15.75">
      <c r="A9" s="100"/>
      <c r="B9" s="161"/>
    </row>
    <row r="10" spans="1:2" ht="15.75">
      <c r="A10" s="159"/>
      <c r="B10" s="159"/>
    </row>
    <row r="11" spans="1:2" ht="15.75">
      <c r="A11" s="159"/>
      <c r="B11" s="15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A8" sqref="A8:B14"/>
    </sheetView>
  </sheetViews>
  <sheetFormatPr defaultColWidth="9.140625" defaultRowHeight="12.75"/>
  <cols>
    <col min="1" max="1" width="45.00390625" style="0" customWidth="1"/>
    <col min="2" max="2" width="18.28125" style="0" customWidth="1"/>
    <col min="3" max="3" width="24.7109375" style="0" customWidth="1"/>
    <col min="4" max="4" width="39.00390625" style="0" customWidth="1"/>
  </cols>
  <sheetData>
    <row r="1" spans="1:4" ht="27.75" customHeight="1">
      <c r="A1" s="301" t="s">
        <v>467</v>
      </c>
      <c r="B1" s="310"/>
      <c r="C1" s="310"/>
      <c r="D1" s="310"/>
    </row>
    <row r="2" spans="1:4" ht="42.75" customHeight="1">
      <c r="A2" s="202" t="s">
        <v>37</v>
      </c>
      <c r="B2" s="66" t="s">
        <v>3</v>
      </c>
      <c r="C2" s="202" t="s">
        <v>4</v>
      </c>
      <c r="D2" s="203" t="s">
        <v>1</v>
      </c>
    </row>
    <row r="3" spans="1:4" ht="15">
      <c r="A3" s="343" t="s">
        <v>238</v>
      </c>
      <c r="B3" s="344"/>
      <c r="C3" s="344"/>
      <c r="D3" s="344"/>
    </row>
    <row r="4" spans="1:4" ht="26.25" customHeight="1">
      <c r="A4" s="163" t="s">
        <v>13</v>
      </c>
      <c r="B4" s="47"/>
      <c r="C4" s="47">
        <f>6000000+3000000+2500000</f>
        <v>11500000</v>
      </c>
      <c r="D4" s="315">
        <f>D6</f>
        <v>11500000</v>
      </c>
    </row>
    <row r="5" spans="1:4" ht="34.5" customHeight="1">
      <c r="A5" s="163" t="s">
        <v>320</v>
      </c>
      <c r="B5" s="47"/>
      <c r="C5" s="47"/>
      <c r="D5" s="315"/>
    </row>
    <row r="6" spans="1:4" ht="25.5">
      <c r="A6" s="200" t="s">
        <v>221</v>
      </c>
      <c r="B6" s="47" t="s">
        <v>316</v>
      </c>
      <c r="C6" s="47">
        <f>6000000+3000000+2500000</f>
        <v>11500000</v>
      </c>
      <c r="D6" s="51">
        <f>6000000+3000000+2500000</f>
        <v>11500000</v>
      </c>
    </row>
    <row r="7" spans="1:4" ht="20.25" customHeight="1">
      <c r="A7" s="237" t="s">
        <v>16</v>
      </c>
      <c r="B7" s="47"/>
      <c r="C7" s="52">
        <f>C6</f>
        <v>11500000</v>
      </c>
      <c r="D7" s="52">
        <f>D6</f>
        <v>11500000</v>
      </c>
    </row>
    <row r="8" spans="1:4" ht="12.75">
      <c r="A8" s="100" t="s">
        <v>451</v>
      </c>
      <c r="B8" s="27"/>
      <c r="C8" s="100"/>
      <c r="D8" s="27"/>
    </row>
    <row r="9" spans="1:4" ht="12.75">
      <c r="A9" s="100" t="s">
        <v>452</v>
      </c>
      <c r="B9" s="28"/>
      <c r="C9" s="100"/>
      <c r="D9" s="28"/>
    </row>
    <row r="10" spans="1:4" ht="15.75">
      <c r="A10" s="100" t="s">
        <v>53</v>
      </c>
      <c r="B10" s="161"/>
      <c r="C10" s="100"/>
      <c r="D10" s="161"/>
    </row>
    <row r="11" spans="1:4" ht="15.75">
      <c r="A11" s="100"/>
      <c r="B11" s="161"/>
      <c r="C11" s="100"/>
      <c r="D11" s="161"/>
    </row>
    <row r="12" spans="1:4" ht="15.75">
      <c r="A12" s="159"/>
      <c r="B12" s="159"/>
      <c r="C12" s="159"/>
      <c r="D12" s="159"/>
    </row>
    <row r="13" spans="1:4" ht="12.75">
      <c r="A13" s="100"/>
      <c r="B13" s="27"/>
      <c r="C13" s="100"/>
      <c r="D13" s="27"/>
    </row>
    <row r="14" spans="1:4" ht="12.75">
      <c r="A14" s="100"/>
      <c r="B14" s="28"/>
      <c r="C14" s="100"/>
      <c r="D14" s="28"/>
    </row>
    <row r="15" spans="1:4" ht="15.75">
      <c r="A15" s="100"/>
      <c r="B15" s="161"/>
      <c r="C15" s="100"/>
      <c r="D15" s="161"/>
    </row>
    <row r="16" spans="1:4" ht="15.75">
      <c r="A16" s="100"/>
      <c r="B16" s="161"/>
      <c r="C16" s="100"/>
      <c r="D16" s="161"/>
    </row>
    <row r="17" spans="1:4" ht="15.75">
      <c r="A17" s="159"/>
      <c r="B17" s="159"/>
      <c r="C17" s="159"/>
      <c r="D17" s="159"/>
    </row>
    <row r="18" spans="1:4" ht="12.75">
      <c r="A18" s="100"/>
      <c r="B18" s="27"/>
      <c r="C18" s="100"/>
      <c r="D18" s="27"/>
    </row>
    <row r="19" spans="1:4" ht="12.75">
      <c r="A19" s="100"/>
      <c r="B19" s="28"/>
      <c r="C19" s="100"/>
      <c r="D19" s="28"/>
    </row>
    <row r="20" spans="1:4" ht="15.75">
      <c r="A20" s="100"/>
      <c r="B20" s="161"/>
      <c r="C20" s="100"/>
      <c r="D20" s="161"/>
    </row>
    <row r="21" spans="1:4" ht="15.75">
      <c r="A21" s="100"/>
      <c r="B21" s="161"/>
      <c r="C21" s="100"/>
      <c r="D21" s="161"/>
    </row>
    <row r="22" spans="1:4" ht="15.75">
      <c r="A22" s="159"/>
      <c r="B22" s="159"/>
      <c r="C22" s="159"/>
      <c r="D22" s="159"/>
    </row>
  </sheetData>
  <sheetProtection/>
  <mergeCells count="1">
    <mergeCell ref="A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2" width="31.7109375" style="0" customWidth="1"/>
    <col min="3" max="3" width="38.00390625" style="0" customWidth="1"/>
    <col min="4" max="4" width="14.57421875" style="0" customWidth="1"/>
    <col min="5" max="5" width="15.00390625" style="0" customWidth="1"/>
  </cols>
  <sheetData>
    <row r="1" spans="1:5" ht="15">
      <c r="A1" s="296" t="s">
        <v>468</v>
      </c>
      <c r="B1" s="297"/>
      <c r="C1" s="310"/>
      <c r="D1" s="310"/>
      <c r="E1" s="310"/>
    </row>
    <row r="2" spans="1:5" ht="54.75" customHeight="1">
      <c r="A2" s="202" t="s">
        <v>37</v>
      </c>
      <c r="B2" s="66" t="s">
        <v>3</v>
      </c>
      <c r="C2" s="66"/>
      <c r="D2" s="302" t="s">
        <v>4</v>
      </c>
      <c r="E2" s="196" t="s">
        <v>1</v>
      </c>
    </row>
    <row r="3" spans="1:5" ht="15.75">
      <c r="A3" s="339" t="s">
        <v>238</v>
      </c>
      <c r="B3" s="339"/>
      <c r="C3" s="340"/>
      <c r="D3" s="340"/>
      <c r="E3" s="340"/>
    </row>
    <row r="4" spans="1:5" ht="23.25" customHeight="1">
      <c r="A4" s="46" t="s">
        <v>13</v>
      </c>
      <c r="B4" s="47"/>
      <c r="C4" s="47"/>
      <c r="D4" s="47">
        <f>D5</f>
        <v>2499999.58</v>
      </c>
      <c r="E4" s="47">
        <f>E5</f>
        <v>2499999.58</v>
      </c>
    </row>
    <row r="5" spans="1:5" ht="17.25" customHeight="1">
      <c r="A5" s="149" t="s">
        <v>221</v>
      </c>
      <c r="B5" s="47" t="s">
        <v>316</v>
      </c>
      <c r="C5" s="147" t="s">
        <v>266</v>
      </c>
      <c r="D5" s="47">
        <f>1651094.58+848905</f>
        <v>2499999.58</v>
      </c>
      <c r="E5" s="51">
        <f>1651094.58+848905</f>
        <v>2499999.58</v>
      </c>
    </row>
    <row r="6" spans="1:5" ht="18.75" customHeight="1">
      <c r="A6" s="237" t="s">
        <v>16</v>
      </c>
      <c r="B6" s="47"/>
      <c r="C6" s="47"/>
      <c r="D6" s="52">
        <f>D5</f>
        <v>2499999.58</v>
      </c>
      <c r="E6" s="52">
        <f>E5</f>
        <v>2499999.58</v>
      </c>
    </row>
    <row r="7" spans="1:5" ht="12.75">
      <c r="A7" s="100" t="s">
        <v>451</v>
      </c>
      <c r="B7" s="27"/>
      <c r="C7" s="309"/>
      <c r="D7" s="309"/>
      <c r="E7" s="298"/>
    </row>
    <row r="8" spans="1:5" ht="12.75">
      <c r="A8" s="100" t="s">
        <v>452</v>
      </c>
      <c r="B8" s="28"/>
      <c r="C8" s="27"/>
      <c r="D8" s="27"/>
      <c r="E8" s="28"/>
    </row>
    <row r="9" spans="1:5" ht="15.75">
      <c r="A9" s="100" t="s">
        <v>53</v>
      </c>
      <c r="B9" s="161"/>
      <c r="C9" s="28"/>
      <c r="D9" s="29"/>
      <c r="E9" s="29"/>
    </row>
    <row r="10" spans="1:5" ht="15.75">
      <c r="A10" s="100"/>
      <c r="B10" s="161"/>
      <c r="C10" s="115"/>
      <c r="D10" s="161"/>
      <c r="E10" s="29"/>
    </row>
    <row r="11" spans="1:5" ht="15.75">
      <c r="A11" s="159"/>
      <c r="B11" s="159"/>
      <c r="C11" s="115"/>
      <c r="D11" s="41"/>
      <c r="E11" s="29"/>
    </row>
    <row r="12" spans="1:5" ht="15.75">
      <c r="A12" s="100"/>
      <c r="B12" s="27"/>
      <c r="C12" s="114"/>
      <c r="D12" s="160"/>
      <c r="E12" s="29"/>
    </row>
    <row r="13" spans="1:5" ht="15.75">
      <c r="A13" s="100"/>
      <c r="B13" s="28"/>
      <c r="C13" s="115"/>
      <c r="D13" s="41"/>
      <c r="E13" s="29"/>
    </row>
    <row r="14" spans="1:5" ht="15.75">
      <c r="A14" s="30"/>
      <c r="B14" s="30"/>
      <c r="C14" s="115"/>
      <c r="D14" s="41"/>
      <c r="E14" s="29"/>
    </row>
    <row r="15" spans="1:5" ht="12.75">
      <c r="A15" s="31"/>
      <c r="B15" s="31"/>
      <c r="C15" s="116"/>
      <c r="D15" s="29"/>
      <c r="E15" s="29"/>
    </row>
    <row r="16" spans="1:5" ht="12.75">
      <c r="A16" s="31"/>
      <c r="B16" s="31"/>
      <c r="C16" s="32"/>
      <c r="D16" s="32"/>
      <c r="E16" s="32"/>
    </row>
    <row r="17" spans="1:5" ht="12.75">
      <c r="A17" s="31"/>
      <c r="B17" s="31"/>
      <c r="C17" s="32"/>
      <c r="D17" s="32"/>
      <c r="E17" s="32"/>
    </row>
    <row r="18" spans="1:5" ht="12.75">
      <c r="A18" s="31"/>
      <c r="B18" s="31"/>
      <c r="C18" s="32"/>
      <c r="D18" s="32"/>
      <c r="E18" s="32"/>
    </row>
  </sheetData>
  <sheetProtection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tabColor rgb="FFC00000"/>
  </sheetPr>
  <dimension ref="A1:D105"/>
  <sheetViews>
    <sheetView zoomScaleSheetLayoutView="100" zoomScalePageLayoutView="0" workbookViewId="0" topLeftCell="A1">
      <selection activeCell="A100" sqref="A100:A106"/>
    </sheetView>
  </sheetViews>
  <sheetFormatPr defaultColWidth="9.140625" defaultRowHeight="12.75"/>
  <cols>
    <col min="1" max="1" width="71.28125" style="31" customWidth="1"/>
    <col min="2" max="2" width="26.00390625" style="32" customWidth="1"/>
    <col min="3" max="3" width="23.421875" style="32" customWidth="1"/>
    <col min="4" max="4" width="12.140625" style="32" customWidth="1"/>
  </cols>
  <sheetData>
    <row r="1" spans="1:4" ht="21" customHeight="1">
      <c r="A1" s="193" t="s">
        <v>453</v>
      </c>
      <c r="B1" s="194"/>
      <c r="C1" s="194"/>
      <c r="D1" s="194"/>
    </row>
    <row r="2" spans="1:4" ht="32.25" customHeight="1">
      <c r="A2" s="25" t="s">
        <v>37</v>
      </c>
      <c r="B2" s="66" t="s">
        <v>3</v>
      </c>
      <c r="C2" s="202" t="s">
        <v>4</v>
      </c>
      <c r="D2" s="203" t="s">
        <v>1</v>
      </c>
    </row>
    <row r="3" spans="1:4" ht="17.25" customHeight="1">
      <c r="A3" s="326" t="s">
        <v>274</v>
      </c>
      <c r="B3" s="327"/>
      <c r="C3" s="327"/>
      <c r="D3" s="327"/>
    </row>
    <row r="4" spans="1:4" s="4" customFormat="1" ht="17.25" customHeight="1">
      <c r="A4" s="46" t="s">
        <v>11</v>
      </c>
      <c r="B4" s="47"/>
      <c r="C4" s="47">
        <f>C8</f>
        <v>13819025</v>
      </c>
      <c r="D4" s="47">
        <f>D8</f>
        <v>13819025</v>
      </c>
    </row>
    <row r="5" spans="1:4" s="8" customFormat="1" ht="19.5" customHeight="1">
      <c r="A5" s="197" t="s">
        <v>12</v>
      </c>
      <c r="B5" s="47" t="s">
        <v>167</v>
      </c>
      <c r="C5" s="47">
        <v>29883.42</v>
      </c>
      <c r="D5" s="112">
        <v>29883.42</v>
      </c>
    </row>
    <row r="6" spans="1:4" s="8" customFormat="1" ht="16.5" customHeight="1">
      <c r="A6" s="197" t="s">
        <v>12</v>
      </c>
      <c r="B6" s="47" t="s">
        <v>62</v>
      </c>
      <c r="C6" s="47">
        <f>1023416.41+966978.58+2074323.72+178741.94+313259.71+1402577.93+699096.59+188287.54+337190.61+194142.6+285163.18+2580068.81+506834.54+679401.07+210297.38+916984+369044.08+532343.24</f>
        <v>13458151.93</v>
      </c>
      <c r="D6" s="112">
        <f>1023416.41+966978.58+2074323.72+178741.94+313259.71+1402577.93+699096.59+188287.54+337190.61+194142.6+285163.18+2580068.81+506834.54+679401.07+210297.38+916984+369044.08+532343.24</f>
        <v>13458151.93</v>
      </c>
    </row>
    <row r="7" spans="1:4" s="8" customFormat="1" ht="16.5" customHeight="1">
      <c r="A7" s="197" t="s">
        <v>12</v>
      </c>
      <c r="B7" s="47" t="s">
        <v>60</v>
      </c>
      <c r="C7" s="47">
        <f>25469.49+22880.27+51814.43+7822.33+4464.49+17453.04+35035.29+4701.29+8365.74+4769.15+7004.23+64099.9+12194.06+16068.36+4875.01+22510.33+12457.55+9004.69</f>
        <v>330989.65</v>
      </c>
      <c r="D7" s="112">
        <f>25469.49+22880.27+51814.43+7822.33+4464.49+17453.04+35035.29+4701.29+8365.74+4769.15+7004.23+64099.9+12194.06+16068.36+4875.01+22510.33+12457.55+9004.69</f>
        <v>330989.65</v>
      </c>
    </row>
    <row r="8" spans="1:4" s="8" customFormat="1" ht="15" customHeight="1">
      <c r="A8" s="198" t="s">
        <v>58</v>
      </c>
      <c r="B8" s="47"/>
      <c r="C8" s="47">
        <f>C5+C6+C7</f>
        <v>13819025</v>
      </c>
      <c r="D8" s="47">
        <f>D5+D6+D7</f>
        <v>13819025</v>
      </c>
    </row>
    <row r="9" spans="1:4" s="11" customFormat="1" ht="20.25" customHeight="1">
      <c r="A9" s="46" t="s">
        <v>13</v>
      </c>
      <c r="B9" s="47"/>
      <c r="C9" s="52">
        <f>C12+C15+C19+C24+C30+C35+C38+C41+C45+C49+C52+C55+C58</f>
        <v>43703496.769999996</v>
      </c>
      <c r="D9" s="52">
        <f>D12+D15+D19+D24+D30+D35+D38+D41+D45+D49+D52+D55+D58</f>
        <v>43703496.769999996</v>
      </c>
    </row>
    <row r="10" spans="1:4" s="11" customFormat="1" ht="15" customHeight="1">
      <c r="A10" s="204" t="s">
        <v>284</v>
      </c>
      <c r="B10" s="47" t="s">
        <v>60</v>
      </c>
      <c r="C10" s="52">
        <f>2444.23+19860.7</f>
        <v>22304.93</v>
      </c>
      <c r="D10" s="52">
        <f>2444.23+19860.7</f>
        <v>22304.93</v>
      </c>
    </row>
    <row r="11" spans="1:4" s="11" customFormat="1" ht="17.25" customHeight="1">
      <c r="A11" s="204" t="s">
        <v>284</v>
      </c>
      <c r="B11" s="25" t="s">
        <v>119</v>
      </c>
      <c r="C11" s="52">
        <f>147958.81+125802.55</f>
        <v>273761.36</v>
      </c>
      <c r="D11" s="52">
        <f>147958.81+125802.55</f>
        <v>273761.36</v>
      </c>
    </row>
    <row r="12" spans="1:4" s="11" customFormat="1" ht="14.25" customHeight="1">
      <c r="A12" s="46" t="s">
        <v>58</v>
      </c>
      <c r="B12" s="47"/>
      <c r="C12" s="52">
        <f>C10+C11</f>
        <v>296066.29</v>
      </c>
      <c r="D12" s="52">
        <f>D10+D11</f>
        <v>296066.29</v>
      </c>
    </row>
    <row r="13" spans="1:4" s="11" customFormat="1" ht="15" customHeight="1">
      <c r="A13" s="200" t="s">
        <v>109</v>
      </c>
      <c r="B13" s="25" t="s">
        <v>119</v>
      </c>
      <c r="C13" s="54">
        <f>424136.14+1579373.54+2792812.63+453184.92+286100.24</f>
        <v>5535607.470000001</v>
      </c>
      <c r="D13" s="54">
        <f>424136.14+1579373.54+2792812.63+453184.92+286100.24</f>
        <v>5535607.470000001</v>
      </c>
    </row>
    <row r="14" spans="1:4" s="12" customFormat="1" ht="15.75" customHeight="1">
      <c r="A14" s="200" t="s">
        <v>109</v>
      </c>
      <c r="B14" s="25" t="s">
        <v>60</v>
      </c>
      <c r="C14" s="47">
        <f>10134.59+38783.28+69151.33+10750.45+7099.57</f>
        <v>135919.22</v>
      </c>
      <c r="D14" s="45">
        <f>10134.59+38783.28+69151.33+10750.45+7099.57</f>
        <v>135919.22</v>
      </c>
    </row>
    <row r="15" spans="1:4" s="12" customFormat="1" ht="18.75" customHeight="1">
      <c r="A15" s="46" t="s">
        <v>58</v>
      </c>
      <c r="B15" s="47"/>
      <c r="C15" s="52">
        <f>C13+C14</f>
        <v>5671526.69</v>
      </c>
      <c r="D15" s="52">
        <f>D13+D14</f>
        <v>5671526.69</v>
      </c>
    </row>
    <row r="16" spans="1:4" s="12" customFormat="1" ht="13.5" customHeight="1">
      <c r="A16" s="201" t="s">
        <v>110</v>
      </c>
      <c r="B16" s="47" t="s">
        <v>61</v>
      </c>
      <c r="C16" s="47">
        <v>13079.88</v>
      </c>
      <c r="D16" s="90">
        <v>13079.88</v>
      </c>
    </row>
    <row r="17" spans="1:4" s="12" customFormat="1" ht="13.5" customHeight="1">
      <c r="A17" s="201" t="s">
        <v>110</v>
      </c>
      <c r="B17" s="47" t="s">
        <v>60</v>
      </c>
      <c r="C17" s="47">
        <v>33674.77</v>
      </c>
      <c r="D17" s="90">
        <v>33674.77</v>
      </c>
    </row>
    <row r="18" spans="1:4" s="12" customFormat="1" ht="18.75" customHeight="1">
      <c r="A18" s="201" t="s">
        <v>110</v>
      </c>
      <c r="B18" s="47" t="s">
        <v>241</v>
      </c>
      <c r="C18" s="47">
        <f>878347.21+1364991.49</f>
        <v>2243338.7</v>
      </c>
      <c r="D18" s="90">
        <f>878347.21+1364991.49</f>
        <v>2243338.7</v>
      </c>
    </row>
    <row r="19" spans="1:4" s="12" customFormat="1" ht="15.75" customHeight="1">
      <c r="A19" s="46" t="s">
        <v>58</v>
      </c>
      <c r="B19" s="47"/>
      <c r="C19" s="47">
        <f>C16+C18+C17</f>
        <v>2290093.35</v>
      </c>
      <c r="D19" s="47">
        <f>D16+D18+D17</f>
        <v>2290093.35</v>
      </c>
    </row>
    <row r="20" spans="1:4" s="12" customFormat="1" ht="24" customHeight="1">
      <c r="A20" s="200" t="s">
        <v>111</v>
      </c>
      <c r="B20" s="47" t="s">
        <v>61</v>
      </c>
      <c r="C20" s="47">
        <v>11784.96</v>
      </c>
      <c r="D20" s="112">
        <v>11784.96</v>
      </c>
    </row>
    <row r="21" spans="1:4" s="12" customFormat="1" ht="15.75" customHeight="1">
      <c r="A21" s="200" t="s">
        <v>111</v>
      </c>
      <c r="B21" s="47" t="s">
        <v>166</v>
      </c>
      <c r="C21" s="52">
        <v>47520</v>
      </c>
      <c r="D21" s="51">
        <v>47520</v>
      </c>
    </row>
    <row r="22" spans="1:4" s="12" customFormat="1" ht="14.25" customHeight="1">
      <c r="A22" s="200" t="s">
        <v>111</v>
      </c>
      <c r="B22" s="47" t="s">
        <v>241</v>
      </c>
      <c r="C22" s="52">
        <f>392378.1+232892.89+1073874.82+417577.32</f>
        <v>2116723.13</v>
      </c>
      <c r="D22" s="51">
        <f>392378.1+232892.89+1073874.82+417577.32</f>
        <v>2116723.13</v>
      </c>
    </row>
    <row r="23" spans="1:4" s="12" customFormat="1" ht="18.75" customHeight="1">
      <c r="A23" s="200" t="s">
        <v>111</v>
      </c>
      <c r="B23" s="47" t="s">
        <v>60</v>
      </c>
      <c r="C23" s="52">
        <f>9457.98+5677.45+10397.68</f>
        <v>25533.11</v>
      </c>
      <c r="D23" s="51">
        <f>9457.98+5677.45+10397.68</f>
        <v>25533.11</v>
      </c>
    </row>
    <row r="24" spans="1:4" s="12" customFormat="1" ht="15" customHeight="1">
      <c r="A24" s="46" t="s">
        <v>58</v>
      </c>
      <c r="B24" s="47"/>
      <c r="C24" s="52">
        <f>C20+C21+C22+C23</f>
        <v>2201561.1999999997</v>
      </c>
      <c r="D24" s="52">
        <f>D20+D21+D22+D23</f>
        <v>2201561.1999999997</v>
      </c>
    </row>
    <row r="25" spans="1:4" s="12" customFormat="1" ht="15.75" customHeight="1">
      <c r="A25" s="200" t="s">
        <v>234</v>
      </c>
      <c r="B25" s="47" t="s">
        <v>194</v>
      </c>
      <c r="C25" s="47">
        <f>930017.57+439882.39+16691.09</f>
        <v>1386591.05</v>
      </c>
      <c r="D25" s="45">
        <f>439882.39+930017.57+16691.09</f>
        <v>1386591.05</v>
      </c>
    </row>
    <row r="26" spans="1:4" s="12" customFormat="1" ht="16.5" customHeight="1">
      <c r="A26" s="200" t="s">
        <v>234</v>
      </c>
      <c r="B26" s="47" t="s">
        <v>60</v>
      </c>
      <c r="C26" s="47">
        <f>10633.01+23160.78+352.79</f>
        <v>34146.58</v>
      </c>
      <c r="D26" s="45">
        <f>10633.01+23160.78+352.79</f>
        <v>34146.58</v>
      </c>
    </row>
    <row r="27" spans="1:4" s="12" customFormat="1" ht="19.5" customHeight="1">
      <c r="A27" s="200" t="s">
        <v>234</v>
      </c>
      <c r="B27" s="47" t="s">
        <v>243</v>
      </c>
      <c r="C27" s="52">
        <v>5607</v>
      </c>
      <c r="D27" s="48">
        <v>5607</v>
      </c>
    </row>
    <row r="28" spans="1:4" s="12" customFormat="1" ht="15.75" customHeight="1">
      <c r="A28" s="200" t="s">
        <v>234</v>
      </c>
      <c r="B28" s="47" t="s">
        <v>195</v>
      </c>
      <c r="C28" s="47">
        <v>74234.63</v>
      </c>
      <c r="D28" s="45">
        <v>74234.63</v>
      </c>
    </row>
    <row r="29" spans="1:4" s="12" customFormat="1" ht="19.5" customHeight="1">
      <c r="A29" s="200" t="s">
        <v>234</v>
      </c>
      <c r="B29" s="47" t="s">
        <v>196</v>
      </c>
      <c r="C29" s="47">
        <v>19440</v>
      </c>
      <c r="D29" s="45">
        <v>19440</v>
      </c>
    </row>
    <row r="30" spans="1:4" s="12" customFormat="1" ht="15.75" customHeight="1">
      <c r="A30" s="46" t="s">
        <v>58</v>
      </c>
      <c r="B30" s="47"/>
      <c r="C30" s="52">
        <f>C25+C26+C27+C28+C29</f>
        <v>1520019.2600000002</v>
      </c>
      <c r="D30" s="52">
        <f>D25+D28+D29+D26+D27</f>
        <v>1520019.2600000002</v>
      </c>
    </row>
    <row r="31" spans="1:4" s="11" customFormat="1" ht="15" customHeight="1">
      <c r="A31" s="204" t="s">
        <v>17</v>
      </c>
      <c r="B31" s="25" t="s">
        <v>242</v>
      </c>
      <c r="C31" s="25">
        <v>10173.6</v>
      </c>
      <c r="D31" s="38">
        <v>10173.6</v>
      </c>
    </row>
    <row r="32" spans="1:4" s="11" customFormat="1" ht="14.25" customHeight="1">
      <c r="A32" s="204" t="s">
        <v>17</v>
      </c>
      <c r="B32" s="25" t="s">
        <v>119</v>
      </c>
      <c r="C32" s="25">
        <f>522283.24+6803.27</f>
        <v>529086.51</v>
      </c>
      <c r="D32" s="38">
        <f>522283.24+6803.27</f>
        <v>529086.51</v>
      </c>
    </row>
    <row r="33" spans="1:4" s="11" customFormat="1" ht="14.25" customHeight="1">
      <c r="A33" s="204" t="s">
        <v>17</v>
      </c>
      <c r="B33" s="25" t="s">
        <v>60</v>
      </c>
      <c r="C33" s="25">
        <v>160.23</v>
      </c>
      <c r="D33" s="38">
        <v>160.23</v>
      </c>
    </row>
    <row r="34" spans="1:4" s="11" customFormat="1" ht="15.75" customHeight="1">
      <c r="A34" s="204" t="s">
        <v>17</v>
      </c>
      <c r="B34" s="25" t="s">
        <v>205</v>
      </c>
      <c r="C34" s="54">
        <v>3240</v>
      </c>
      <c r="D34" s="65">
        <v>3240</v>
      </c>
    </row>
    <row r="35" spans="1:4" s="11" customFormat="1" ht="15" customHeight="1">
      <c r="A35" s="46" t="s">
        <v>58</v>
      </c>
      <c r="B35" s="25"/>
      <c r="C35" s="54">
        <f>C31+C34+C32+C33</f>
        <v>542660.34</v>
      </c>
      <c r="D35" s="54">
        <f>D31+D34+D32+D33</f>
        <v>542660.34</v>
      </c>
    </row>
    <row r="36" spans="1:4" s="12" customFormat="1" ht="18" customHeight="1">
      <c r="A36" s="204" t="s">
        <v>18</v>
      </c>
      <c r="B36" s="25" t="s">
        <v>62</v>
      </c>
      <c r="C36" s="25">
        <f>542009.57+768230.2+744891.12+247980.66+627360.02+2695453.53+1402343.69+237485.4+556496.15+237360.01+212623.67</f>
        <v>8272234.02</v>
      </c>
      <c r="D36" s="38">
        <f>542009.57+2695453.53+768230.2+744891.12+247980.66+627360.02+1402343.69+237485.4+556496.15+237360.01+212623.67</f>
        <v>8272234.02</v>
      </c>
    </row>
    <row r="37" spans="1:4" s="12" customFormat="1" ht="20.25" customHeight="1">
      <c r="A37" s="204" t="s">
        <v>18</v>
      </c>
      <c r="B37" s="25" t="s">
        <v>60</v>
      </c>
      <c r="C37" s="25">
        <f>13374.91+19031.89+18418.52+5922.98+15397.99+34864.57+5852.2+13707.58+5876.56+5264.99</f>
        <v>137712.19</v>
      </c>
      <c r="D37" s="38">
        <f>13374.91+19031.89+18418.52+5922.98+15397.99+34864.57+5852.2+13707.58+5876.56+5264.99</f>
        <v>137712.19</v>
      </c>
    </row>
    <row r="38" spans="1:4" s="12" customFormat="1" ht="17.25" customHeight="1">
      <c r="A38" s="207" t="s">
        <v>59</v>
      </c>
      <c r="B38" s="25"/>
      <c r="C38" s="208">
        <f>C36+C37</f>
        <v>8409946.209999999</v>
      </c>
      <c r="D38" s="208">
        <f>D36+D37</f>
        <v>8409946.209999999</v>
      </c>
    </row>
    <row r="39" spans="1:4" s="12" customFormat="1" ht="16.5" customHeight="1">
      <c r="A39" s="204" t="s">
        <v>19</v>
      </c>
      <c r="B39" s="25" t="s">
        <v>62</v>
      </c>
      <c r="C39" s="54">
        <f>291432.29+392252.74+377049.88+2343073.95+86490.96+1329178.57+325790.71+1101691.14+1028551.44+287617.32+48830.96+0.3+29078</f>
        <v>7641038.26</v>
      </c>
      <c r="D39" s="65">
        <f>2343073.95+291432.29+392252.74+377049.88+86490.96+1329178.57+325790.71+1101691.14+1028551.44+287617.32+48830.96+0.3+29078</f>
        <v>7641038.26</v>
      </c>
    </row>
    <row r="40" spans="1:4" s="12" customFormat="1" ht="15" customHeight="1">
      <c r="A40" s="204" t="s">
        <v>19</v>
      </c>
      <c r="B40" s="25" t="s">
        <v>60</v>
      </c>
      <c r="C40" s="54">
        <f>7172.97+9641.32+9269.9+2029.7+33218.47+7737.14+27533.17+25713.79+716.1+1205.57+7169.45</f>
        <v>131407.58000000002</v>
      </c>
      <c r="D40" s="65">
        <f>7172.97+9641.32+9269.9+2029.7+33218.47+7737.14+27533.17+25713.79+716.1+1205.57+7169.45</f>
        <v>131407.58000000002</v>
      </c>
    </row>
    <row r="41" spans="1:4" s="12" customFormat="1" ht="15.75" customHeight="1">
      <c r="A41" s="207" t="s">
        <v>59</v>
      </c>
      <c r="B41" s="25"/>
      <c r="C41" s="54">
        <f>C39+C40</f>
        <v>7772445.84</v>
      </c>
      <c r="D41" s="54">
        <f>D39+D40</f>
        <v>7772445.84</v>
      </c>
    </row>
    <row r="42" spans="1:4" s="12" customFormat="1" ht="17.25" customHeight="1">
      <c r="A42" s="204" t="s">
        <v>405</v>
      </c>
      <c r="B42" s="25" t="s">
        <v>61</v>
      </c>
      <c r="C42" s="25">
        <v>14919.96</v>
      </c>
      <c r="D42" s="38">
        <v>14919.96</v>
      </c>
    </row>
    <row r="43" spans="1:4" s="12" customFormat="1" ht="14.25" customHeight="1">
      <c r="A43" s="204" t="s">
        <v>405</v>
      </c>
      <c r="B43" s="25" t="s">
        <v>113</v>
      </c>
      <c r="C43" s="54">
        <v>5555814</v>
      </c>
      <c r="D43" s="65">
        <v>5555814</v>
      </c>
    </row>
    <row r="44" spans="1:4" s="12" customFormat="1" ht="14.25" customHeight="1">
      <c r="A44" s="204" t="s">
        <v>405</v>
      </c>
      <c r="B44" s="25" t="s">
        <v>60</v>
      </c>
      <c r="C44" s="54">
        <v>137644.95</v>
      </c>
      <c r="D44" s="65">
        <v>137644.95</v>
      </c>
    </row>
    <row r="45" spans="1:4" s="12" customFormat="1" ht="15" customHeight="1">
      <c r="A45" s="207" t="s">
        <v>58</v>
      </c>
      <c r="B45" s="25"/>
      <c r="C45" s="54">
        <f>C42+C43+C44</f>
        <v>5708378.91</v>
      </c>
      <c r="D45" s="54">
        <f>D42+D43+D44</f>
        <v>5708378.91</v>
      </c>
    </row>
    <row r="46" spans="1:4" s="12" customFormat="1" ht="25.5" customHeight="1">
      <c r="A46" s="204" t="s">
        <v>257</v>
      </c>
      <c r="B46" s="25" t="s">
        <v>168</v>
      </c>
      <c r="C46" s="54">
        <v>47931.4</v>
      </c>
      <c r="D46" s="65">
        <v>47931.4</v>
      </c>
    </row>
    <row r="47" spans="1:4" s="12" customFormat="1" ht="15.75" customHeight="1">
      <c r="A47" s="204" t="s">
        <v>257</v>
      </c>
      <c r="B47" s="25" t="s">
        <v>60</v>
      </c>
      <c r="C47" s="54">
        <f>45040.68+28838.25</f>
        <v>73878.93</v>
      </c>
      <c r="D47" s="65">
        <f>45040.68+28838.25</f>
        <v>73878.93</v>
      </c>
    </row>
    <row r="48" spans="1:4" s="12" customFormat="1" ht="16.5" customHeight="1">
      <c r="A48" s="204" t="s">
        <v>257</v>
      </c>
      <c r="B48" s="25" t="s">
        <v>267</v>
      </c>
      <c r="C48" s="54">
        <f>1904612.23+1272788.2+4299866.56</f>
        <v>7477266.989999999</v>
      </c>
      <c r="D48" s="65">
        <f>1904612.23+1272788.2+4299866.56</f>
        <v>7477266.989999999</v>
      </c>
    </row>
    <row r="49" spans="1:4" s="12" customFormat="1" ht="18" customHeight="1">
      <c r="A49" s="207" t="s">
        <v>58</v>
      </c>
      <c r="B49" s="25"/>
      <c r="C49" s="54">
        <f>C46+C47+C48</f>
        <v>7599077.319999999</v>
      </c>
      <c r="D49" s="54">
        <f>D46+D47+D48</f>
        <v>7599077.319999999</v>
      </c>
    </row>
    <row r="50" spans="1:4" s="12" customFormat="1" ht="22.5" customHeight="1">
      <c r="A50" s="204" t="s">
        <v>357</v>
      </c>
      <c r="B50" s="25" t="s">
        <v>60</v>
      </c>
      <c r="C50" s="54">
        <v>29216</v>
      </c>
      <c r="D50" s="54">
        <v>29216</v>
      </c>
    </row>
    <row r="51" spans="1:4" s="12" customFormat="1" ht="22.5" customHeight="1">
      <c r="A51" s="204" t="s">
        <v>357</v>
      </c>
      <c r="B51" s="25" t="s">
        <v>241</v>
      </c>
      <c r="C51" s="54">
        <v>1195784</v>
      </c>
      <c r="D51" s="54">
        <v>1195784</v>
      </c>
    </row>
    <row r="52" spans="1:4" s="12" customFormat="1" ht="21" customHeight="1">
      <c r="A52" s="207" t="s">
        <v>58</v>
      </c>
      <c r="B52" s="25"/>
      <c r="C52" s="54">
        <f>C50+C51</f>
        <v>1225000</v>
      </c>
      <c r="D52" s="54">
        <f>D50+D51</f>
        <v>1225000</v>
      </c>
    </row>
    <row r="53" spans="1:4" s="12" customFormat="1" ht="24.75" customHeight="1">
      <c r="A53" s="204" t="s">
        <v>358</v>
      </c>
      <c r="B53" s="25" t="s">
        <v>150</v>
      </c>
      <c r="C53" s="54">
        <v>291714</v>
      </c>
      <c r="D53" s="54">
        <v>291714</v>
      </c>
    </row>
    <row r="54" spans="1:4" s="12" customFormat="1" ht="20.25" customHeight="1">
      <c r="A54" s="204" t="s">
        <v>358</v>
      </c>
      <c r="B54" s="25" t="s">
        <v>60</v>
      </c>
      <c r="C54" s="54">
        <v>7154.25</v>
      </c>
      <c r="D54" s="54">
        <v>7154.25</v>
      </c>
    </row>
    <row r="55" spans="1:4" s="12" customFormat="1" ht="19.5" customHeight="1">
      <c r="A55" s="209" t="s">
        <v>58</v>
      </c>
      <c r="B55" s="25"/>
      <c r="C55" s="54">
        <f>C53+C54</f>
        <v>298868.25</v>
      </c>
      <c r="D55" s="54">
        <f>D53+D54</f>
        <v>298868.25</v>
      </c>
    </row>
    <row r="56" spans="1:4" s="12" customFormat="1" ht="15" customHeight="1">
      <c r="A56" s="204" t="s">
        <v>359</v>
      </c>
      <c r="B56" s="25" t="s">
        <v>62</v>
      </c>
      <c r="C56" s="54">
        <v>163910.1</v>
      </c>
      <c r="D56" s="54">
        <v>163910.1</v>
      </c>
    </row>
    <row r="57" spans="1:4" s="12" customFormat="1" ht="22.5" customHeight="1">
      <c r="A57" s="204" t="s">
        <v>359</v>
      </c>
      <c r="B57" s="25" t="s">
        <v>60</v>
      </c>
      <c r="C57" s="54">
        <v>3943.01</v>
      </c>
      <c r="D57" s="54">
        <v>3943.01</v>
      </c>
    </row>
    <row r="58" spans="1:4" s="12" customFormat="1" ht="15.75" customHeight="1">
      <c r="A58" s="209" t="s">
        <v>58</v>
      </c>
      <c r="B58" s="25"/>
      <c r="C58" s="54">
        <f>C56+C57</f>
        <v>167853.11000000002</v>
      </c>
      <c r="D58" s="54">
        <f>D56+D57</f>
        <v>167853.11000000002</v>
      </c>
    </row>
    <row r="59" spans="1:4" s="4" customFormat="1" ht="18" customHeight="1">
      <c r="A59" s="46" t="s">
        <v>14</v>
      </c>
      <c r="B59" s="47"/>
      <c r="C59" s="52">
        <f>C63+C66+C70+C73</f>
        <v>1587970.5</v>
      </c>
      <c r="D59" s="52">
        <f>D63+D66+D70+D73</f>
        <v>1587970.5</v>
      </c>
    </row>
    <row r="60" spans="1:4" s="4" customFormat="1" ht="15.75" customHeight="1">
      <c r="A60" s="204" t="s">
        <v>285</v>
      </c>
      <c r="B60" s="25" t="s">
        <v>363</v>
      </c>
      <c r="C60" s="54">
        <v>9725.89</v>
      </c>
      <c r="D60" s="54">
        <v>9725.89</v>
      </c>
    </row>
    <row r="61" spans="1:4" s="4" customFormat="1" ht="20.25" customHeight="1">
      <c r="A61" s="204" t="s">
        <v>285</v>
      </c>
      <c r="B61" s="25" t="s">
        <v>60</v>
      </c>
      <c r="C61" s="54">
        <f>1026.12+3285.84</f>
        <v>4311.96</v>
      </c>
      <c r="D61" s="54">
        <f>1026.12+3285.84</f>
        <v>4311.96</v>
      </c>
    </row>
    <row r="62" spans="1:4" s="4" customFormat="1" ht="19.5" customHeight="1">
      <c r="A62" s="204" t="s">
        <v>285</v>
      </c>
      <c r="B62" s="25" t="s">
        <v>399</v>
      </c>
      <c r="C62" s="54">
        <f>41620+135101.6</f>
        <v>176721.6</v>
      </c>
      <c r="D62" s="54">
        <f>41620+135101.6</f>
        <v>176721.6</v>
      </c>
    </row>
    <row r="63" spans="1:4" s="4" customFormat="1" ht="15.75" customHeight="1">
      <c r="A63" s="209" t="s">
        <v>58</v>
      </c>
      <c r="B63" s="25"/>
      <c r="C63" s="54">
        <f>C60+C62+C61</f>
        <v>190759.44999999998</v>
      </c>
      <c r="D63" s="54">
        <f>D60+D62+D61</f>
        <v>190759.44999999998</v>
      </c>
    </row>
    <row r="64" spans="1:4" s="4" customFormat="1" ht="14.25" customHeight="1">
      <c r="A64" s="205" t="s">
        <v>20</v>
      </c>
      <c r="B64" s="25" t="s">
        <v>62</v>
      </c>
      <c r="C64" s="25">
        <f>178826.34+238511.92+158196.47</f>
        <v>575534.73</v>
      </c>
      <c r="D64" s="38">
        <f>178826.34+238511.92+158196.47</f>
        <v>575534.73</v>
      </c>
    </row>
    <row r="65" spans="1:4" s="10" customFormat="1" ht="18" customHeight="1">
      <c r="A65" s="205" t="s">
        <v>20</v>
      </c>
      <c r="B65" s="25" t="s">
        <v>60</v>
      </c>
      <c r="C65" s="25">
        <f>4025.25+5911.36+1989.21</f>
        <v>11925.82</v>
      </c>
      <c r="D65" s="38">
        <f>4025.25+5911.36+1989.21</f>
        <v>11925.82</v>
      </c>
    </row>
    <row r="66" spans="1:4" s="10" customFormat="1" ht="12.75" customHeight="1">
      <c r="A66" s="207" t="s">
        <v>59</v>
      </c>
      <c r="B66" s="25"/>
      <c r="C66" s="25">
        <f>C64+C65</f>
        <v>587460.5499999999</v>
      </c>
      <c r="D66" s="25">
        <f>D64+D65</f>
        <v>587460.5499999999</v>
      </c>
    </row>
    <row r="67" spans="1:4" s="10" customFormat="1" ht="12.75" customHeight="1">
      <c r="A67" s="210" t="s">
        <v>108</v>
      </c>
      <c r="B67" s="47" t="s">
        <v>113</v>
      </c>
      <c r="C67" s="52">
        <v>146421.6</v>
      </c>
      <c r="D67" s="51">
        <v>146421.6</v>
      </c>
    </row>
    <row r="68" spans="1:4" s="10" customFormat="1" ht="13.5" customHeight="1">
      <c r="A68" s="210" t="s">
        <v>108</v>
      </c>
      <c r="B68" s="47" t="s">
        <v>104</v>
      </c>
      <c r="C68" s="52">
        <v>6340.65</v>
      </c>
      <c r="D68" s="51">
        <v>6340.65</v>
      </c>
    </row>
    <row r="69" spans="1:4" s="10" customFormat="1" ht="15.75" customHeight="1">
      <c r="A69" s="210" t="s">
        <v>108</v>
      </c>
      <c r="B69" s="25" t="s">
        <v>60</v>
      </c>
      <c r="C69" s="47">
        <v>3570.99</v>
      </c>
      <c r="D69" s="112">
        <v>3570.99</v>
      </c>
    </row>
    <row r="70" spans="1:4" s="10" customFormat="1" ht="14.25" customHeight="1">
      <c r="A70" s="207" t="s">
        <v>59</v>
      </c>
      <c r="B70" s="47"/>
      <c r="C70" s="78">
        <f>C67+C69+C68</f>
        <v>156333.24</v>
      </c>
      <c r="D70" s="78">
        <f>D67+D69+D68</f>
        <v>156333.24</v>
      </c>
    </row>
    <row r="71" spans="1:4" s="4" customFormat="1" ht="15.75" customHeight="1">
      <c r="A71" s="204" t="s">
        <v>36</v>
      </c>
      <c r="B71" s="25" t="s">
        <v>63</v>
      </c>
      <c r="C71" s="54">
        <f>131324+161669+160954+182408</f>
        <v>636355</v>
      </c>
      <c r="D71" s="206">
        <f>131324+161669+160954+182408</f>
        <v>636355</v>
      </c>
    </row>
    <row r="72" spans="1:4" s="4" customFormat="1" ht="17.25" customHeight="1">
      <c r="A72" s="204" t="s">
        <v>36</v>
      </c>
      <c r="B72" s="25" t="s">
        <v>60</v>
      </c>
      <c r="C72" s="54">
        <f>3415.77+4376.13+4364.16+4906.2</f>
        <v>17062.26</v>
      </c>
      <c r="D72" s="206">
        <f>3415.77+4376.13+4364.16+4906.2</f>
        <v>17062.26</v>
      </c>
    </row>
    <row r="73" spans="1:4" s="4" customFormat="1" ht="12.75">
      <c r="A73" s="207" t="s">
        <v>59</v>
      </c>
      <c r="B73" s="25"/>
      <c r="C73" s="54">
        <f>C71+C72</f>
        <v>653417.26</v>
      </c>
      <c r="D73" s="54">
        <f>D71+D72</f>
        <v>653417.26</v>
      </c>
    </row>
    <row r="74" spans="1:4" s="4" customFormat="1" ht="25.5">
      <c r="A74" s="46" t="s">
        <v>106</v>
      </c>
      <c r="B74" s="47" t="s">
        <v>139</v>
      </c>
      <c r="C74" s="52">
        <f>20476+3878+9954+4557+4950+10508+44188.66+8234.16+38693.31+42270.79+10317+25395+77318+5076+7642.8+59610.2+157539.41+98561.56+129748.68+77493.41+51329+10315+6469+45360+11277+6900+183229.85+131764.66+379720.86</f>
        <v>1662777.35</v>
      </c>
      <c r="D74" s="51">
        <f>20476+3878+9954+4557+4950+10508+44188.66+8234.16+38693.31+42270.79+10317+25395+77318+5076+7642.8+59610.2+157539.41+98561.56+129748.68+77493.41+51329+10315+6469+45360+11277+6900+183229.85+131764.66+379720.86</f>
        <v>1662777.35</v>
      </c>
    </row>
    <row r="75" spans="1:4" ht="33.75" customHeight="1">
      <c r="A75" s="46" t="s">
        <v>107</v>
      </c>
      <c r="B75" s="47" t="s">
        <v>138</v>
      </c>
      <c r="C75" s="52">
        <f>193029.8+374262-243846.77</f>
        <v>323445.03</v>
      </c>
      <c r="D75" s="52">
        <f>193029.8+374262-243846.77</f>
        <v>323445.03</v>
      </c>
    </row>
    <row r="76" spans="1:4" ht="27" customHeight="1">
      <c r="A76" s="46" t="s">
        <v>286</v>
      </c>
      <c r="B76" s="47"/>
      <c r="C76" s="52">
        <f>C80+C84+C88+C92+C94+C96</f>
        <v>407584.64999999997</v>
      </c>
      <c r="D76" s="52">
        <f>D80+D84+D88+D92+D94+D96</f>
        <v>407584.64999999997</v>
      </c>
    </row>
    <row r="77" spans="1:4" ht="17.25" customHeight="1">
      <c r="A77" s="46" t="s">
        <v>221</v>
      </c>
      <c r="B77" s="47" t="s">
        <v>104</v>
      </c>
      <c r="C77" s="52">
        <v>2841.66</v>
      </c>
      <c r="D77" s="51">
        <v>2841.66</v>
      </c>
    </row>
    <row r="78" spans="1:4" ht="15" customHeight="1">
      <c r="A78" s="46" t="s">
        <v>221</v>
      </c>
      <c r="B78" s="47" t="s">
        <v>60</v>
      </c>
      <c r="C78" s="52">
        <f>2201.19+734.79</f>
        <v>2935.98</v>
      </c>
      <c r="D78" s="51">
        <f>2201.19+734.79</f>
        <v>2935.98</v>
      </c>
    </row>
    <row r="79" spans="1:4" ht="14.25" customHeight="1">
      <c r="A79" s="46" t="s">
        <v>221</v>
      </c>
      <c r="B79" s="47" t="s">
        <v>360</v>
      </c>
      <c r="C79" s="52">
        <f>73641+24939</f>
        <v>98580</v>
      </c>
      <c r="D79" s="51">
        <f>73641+24939</f>
        <v>98580</v>
      </c>
    </row>
    <row r="80" spans="1:4" ht="15.75" customHeight="1">
      <c r="A80" s="46" t="s">
        <v>58</v>
      </c>
      <c r="B80" s="47"/>
      <c r="C80" s="52">
        <f>C77+C78+C79</f>
        <v>104357.64</v>
      </c>
      <c r="D80" s="52">
        <f>D77+D78+D79</f>
        <v>104357.64</v>
      </c>
    </row>
    <row r="81" spans="1:4" ht="17.25" customHeight="1">
      <c r="A81" s="46" t="s">
        <v>172</v>
      </c>
      <c r="B81" s="47" t="s">
        <v>104</v>
      </c>
      <c r="C81" s="52">
        <v>2835</v>
      </c>
      <c r="D81" s="51">
        <v>2835</v>
      </c>
    </row>
    <row r="82" spans="1:4" ht="16.5" customHeight="1">
      <c r="A82" s="46" t="s">
        <v>172</v>
      </c>
      <c r="B82" s="47" t="s">
        <v>360</v>
      </c>
      <c r="C82" s="52">
        <f>71129+20382</f>
        <v>91511</v>
      </c>
      <c r="D82" s="51">
        <f>71129+20382</f>
        <v>91511</v>
      </c>
    </row>
    <row r="83" spans="1:4" ht="17.25" customHeight="1">
      <c r="A83" s="46" t="s">
        <v>172</v>
      </c>
      <c r="B83" s="47" t="s">
        <v>60</v>
      </c>
      <c r="C83" s="52">
        <f>2130.78+598.89</f>
        <v>2729.67</v>
      </c>
      <c r="D83" s="51">
        <f>2130.78+598.89</f>
        <v>2729.67</v>
      </c>
    </row>
    <row r="84" spans="1:4" ht="17.25" customHeight="1">
      <c r="A84" s="46" t="s">
        <v>58</v>
      </c>
      <c r="B84" s="47"/>
      <c r="C84" s="52">
        <f>C81+C82+C83</f>
        <v>97075.67</v>
      </c>
      <c r="D84" s="52">
        <f>D81+D82+D83</f>
        <v>97075.67</v>
      </c>
    </row>
    <row r="85" spans="1:4" ht="17.25" customHeight="1">
      <c r="A85" s="46" t="s">
        <v>361</v>
      </c>
      <c r="B85" s="47" t="s">
        <v>104</v>
      </c>
      <c r="C85" s="52">
        <v>2835</v>
      </c>
      <c r="D85" s="51">
        <v>2835</v>
      </c>
    </row>
    <row r="86" spans="1:4" ht="12" customHeight="1">
      <c r="A86" s="46" t="s">
        <v>361</v>
      </c>
      <c r="B86" s="47" t="s">
        <v>60</v>
      </c>
      <c r="C86" s="52">
        <f>2130.78+598.89</f>
        <v>2729.67</v>
      </c>
      <c r="D86" s="51">
        <f>2130.78+598.89</f>
        <v>2729.67</v>
      </c>
    </row>
    <row r="87" spans="1:4" ht="17.25" customHeight="1">
      <c r="A87" s="46" t="s">
        <v>361</v>
      </c>
      <c r="B87" s="47" t="s">
        <v>360</v>
      </c>
      <c r="C87" s="52">
        <f>71129+20382</f>
        <v>91511</v>
      </c>
      <c r="D87" s="51">
        <f>71129+20382</f>
        <v>91511</v>
      </c>
    </row>
    <row r="88" spans="1:4" ht="17.25" customHeight="1">
      <c r="A88" s="46" t="s">
        <v>58</v>
      </c>
      <c r="B88" s="47"/>
      <c r="C88" s="52">
        <f>C85+C86+C87</f>
        <v>97075.67</v>
      </c>
      <c r="D88" s="52">
        <f>D85+D86+D87</f>
        <v>97075.67</v>
      </c>
    </row>
    <row r="89" spans="1:4" ht="18" customHeight="1">
      <c r="A89" s="46" t="s">
        <v>362</v>
      </c>
      <c r="B89" s="47" t="s">
        <v>104</v>
      </c>
      <c r="C89" s="52">
        <v>2835</v>
      </c>
      <c r="D89" s="51">
        <v>2835</v>
      </c>
    </row>
    <row r="90" spans="1:4" ht="13.5" customHeight="1">
      <c r="A90" s="46" t="s">
        <v>362</v>
      </c>
      <c r="B90" s="47" t="s">
        <v>360</v>
      </c>
      <c r="C90" s="52">
        <f>71129+20382</f>
        <v>91511</v>
      </c>
      <c r="D90" s="51">
        <f>71129+20382</f>
        <v>91511</v>
      </c>
    </row>
    <row r="91" spans="1:4" ht="17.25" customHeight="1">
      <c r="A91" s="46" t="s">
        <v>362</v>
      </c>
      <c r="B91" s="47" t="s">
        <v>60</v>
      </c>
      <c r="C91" s="52">
        <f>2130.78+598.89</f>
        <v>2729.67</v>
      </c>
      <c r="D91" s="51">
        <f>2130.78+598.89</f>
        <v>2729.67</v>
      </c>
    </row>
    <row r="92" spans="1:4" ht="18" customHeight="1">
      <c r="A92" s="46" t="s">
        <v>58</v>
      </c>
      <c r="B92" s="47"/>
      <c r="C92" s="52">
        <f>C89+C90+C91</f>
        <v>97075.67</v>
      </c>
      <c r="D92" s="52">
        <f>D89+D90+D91</f>
        <v>97075.67</v>
      </c>
    </row>
    <row r="93" spans="1:4" ht="18" customHeight="1">
      <c r="A93" s="200" t="s">
        <v>411</v>
      </c>
      <c r="B93" s="47" t="s">
        <v>412</v>
      </c>
      <c r="C93" s="52">
        <v>6000</v>
      </c>
      <c r="D93" s="52">
        <v>6000</v>
      </c>
    </row>
    <row r="94" spans="1:4" ht="18" customHeight="1">
      <c r="A94" s="46" t="s">
        <v>58</v>
      </c>
      <c r="B94" s="47"/>
      <c r="C94" s="52">
        <f>C93</f>
        <v>6000</v>
      </c>
      <c r="D94" s="52">
        <f>D93</f>
        <v>6000</v>
      </c>
    </row>
    <row r="95" spans="1:4" ht="18" customHeight="1">
      <c r="A95" s="46" t="s">
        <v>413</v>
      </c>
      <c r="B95" s="47" t="s">
        <v>412</v>
      </c>
      <c r="C95" s="52">
        <v>6000</v>
      </c>
      <c r="D95" s="52">
        <v>6000</v>
      </c>
    </row>
    <row r="96" spans="1:4" ht="18" customHeight="1">
      <c r="A96" s="46" t="s">
        <v>58</v>
      </c>
      <c r="B96" s="47"/>
      <c r="C96" s="52">
        <f>C95</f>
        <v>6000</v>
      </c>
      <c r="D96" s="52">
        <f>D95</f>
        <v>6000</v>
      </c>
    </row>
    <row r="97" spans="1:4" ht="16.5" customHeight="1">
      <c r="A97" s="222" t="s">
        <v>15</v>
      </c>
      <c r="B97" s="215"/>
      <c r="C97" s="214">
        <f>C9+C59+C74+C76</f>
        <v>47361829.269999996</v>
      </c>
      <c r="D97" s="214">
        <f>D9+D59+D74+D76</f>
        <v>47361829.269999996</v>
      </c>
    </row>
    <row r="98" spans="1:4" ht="15" customHeight="1">
      <c r="A98" s="222" t="s">
        <v>15</v>
      </c>
      <c r="B98" s="215"/>
      <c r="C98" s="216">
        <f>C4+C75</f>
        <v>14142470.03</v>
      </c>
      <c r="D98" s="216">
        <f>D75+D4</f>
        <v>14142470.03</v>
      </c>
    </row>
    <row r="99" spans="1:4" ht="15.75" customHeight="1">
      <c r="A99" s="222" t="s">
        <v>15</v>
      </c>
      <c r="B99" s="215"/>
      <c r="C99" s="216">
        <f>C97+C98</f>
        <v>61504299.3</v>
      </c>
      <c r="D99" s="216">
        <f>D97+D98</f>
        <v>61504299.3</v>
      </c>
    </row>
    <row r="100" spans="1:4" ht="15.75">
      <c r="A100" s="100" t="s">
        <v>451</v>
      </c>
      <c r="B100" s="40"/>
      <c r="C100" s="157"/>
      <c r="D100" s="29"/>
    </row>
    <row r="101" spans="1:4" ht="15.75">
      <c r="A101" s="100" t="s">
        <v>452</v>
      </c>
      <c r="B101" s="40"/>
      <c r="C101" s="41"/>
      <c r="D101" s="29"/>
    </row>
    <row r="102" spans="1:4" ht="15.75">
      <c r="A102" s="100" t="s">
        <v>53</v>
      </c>
      <c r="B102" s="42"/>
      <c r="C102" s="158"/>
      <c r="D102" s="29"/>
    </row>
    <row r="103" spans="1:4" ht="15" customHeight="1">
      <c r="A103" s="100"/>
      <c r="B103" s="40"/>
      <c r="C103" s="41"/>
      <c r="D103" s="29"/>
    </row>
    <row r="104" spans="1:4" ht="12.75">
      <c r="A104" s="100"/>
      <c r="B104" s="36"/>
      <c r="C104" s="29"/>
      <c r="D104" s="29"/>
    </row>
    <row r="105" spans="1:4" ht="12.75">
      <c r="A105" s="19"/>
      <c r="B105" s="36"/>
      <c r="C105" s="29"/>
      <c r="D105" s="29"/>
    </row>
  </sheetData>
  <sheetProtection selectLockedCells="1" selectUnlockedCells="1"/>
  <mergeCells count="1">
    <mergeCell ref="A3:D3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C16"/>
  <sheetViews>
    <sheetView zoomScale="112" zoomScaleNormal="112" zoomScalePageLayoutView="0" workbookViewId="0" topLeftCell="A1">
      <selection activeCell="A10" sqref="A10:A14"/>
    </sheetView>
  </sheetViews>
  <sheetFormatPr defaultColWidth="9.140625" defaultRowHeight="12.75"/>
  <cols>
    <col min="1" max="1" width="71.00390625" style="0" customWidth="1"/>
    <col min="2" max="2" width="17.00390625" style="0" customWidth="1"/>
    <col min="3" max="3" width="16.00390625" style="0" customWidth="1"/>
  </cols>
  <sheetData>
    <row r="1" spans="1:3" ht="12.75">
      <c r="A1" s="217" t="s">
        <v>454</v>
      </c>
      <c r="B1" s="218"/>
      <c r="C1" s="218"/>
    </row>
    <row r="2" spans="1:3" ht="30" customHeight="1">
      <c r="A2" s="224" t="s">
        <v>2</v>
      </c>
      <c r="B2" s="224" t="s">
        <v>4</v>
      </c>
      <c r="C2" s="225" t="s">
        <v>1</v>
      </c>
    </row>
    <row r="3" spans="1:3" ht="12.75">
      <c r="A3" s="98" t="s">
        <v>317</v>
      </c>
      <c r="B3" s="219">
        <f>B9</f>
        <v>33500000</v>
      </c>
      <c r="C3" s="219">
        <f>C9</f>
        <v>33500000</v>
      </c>
    </row>
    <row r="4" spans="1:3" ht="12.75">
      <c r="A4" s="98" t="s">
        <v>123</v>
      </c>
      <c r="B4" s="62">
        <f>23000000+6500000</f>
        <v>29500000</v>
      </c>
      <c r="C4" s="81">
        <f>23000000+6500000</f>
        <v>29500000</v>
      </c>
    </row>
    <row r="5" spans="1:3" ht="12.75">
      <c r="A5" s="98" t="s">
        <v>124</v>
      </c>
      <c r="B5" s="62">
        <f>2000000+200000</f>
        <v>2200000</v>
      </c>
      <c r="C5" s="81">
        <f>2000000+200000</f>
        <v>2200000</v>
      </c>
    </row>
    <row r="6" spans="1:3" ht="15" customHeight="1">
      <c r="A6" s="98" t="s">
        <v>239</v>
      </c>
      <c r="B6" s="62">
        <f>200000+400000+100000</f>
        <v>700000</v>
      </c>
      <c r="C6" s="81">
        <f>200000+400000+100000</f>
        <v>700000</v>
      </c>
    </row>
    <row r="7" spans="1:3" ht="23.25" customHeight="1">
      <c r="A7" s="98" t="s">
        <v>240</v>
      </c>
      <c r="B7" s="62">
        <f>300000+200000+100000+200000</f>
        <v>800000</v>
      </c>
      <c r="C7" s="81">
        <f>300000+200000+100000+200000</f>
        <v>800000</v>
      </c>
    </row>
    <row r="8" spans="1:3" ht="18.75" customHeight="1">
      <c r="A8" s="101" t="s">
        <v>265</v>
      </c>
      <c r="B8" s="62">
        <v>300000</v>
      </c>
      <c r="C8" s="81">
        <v>300000</v>
      </c>
    </row>
    <row r="9" spans="1:3" ht="12.75" customHeight="1">
      <c r="A9" s="173" t="s">
        <v>15</v>
      </c>
      <c r="B9" s="220">
        <f>B4+B5+B6+B7+B8</f>
        <v>33500000</v>
      </c>
      <c r="C9" s="220">
        <f>C4+C5+C6+C7+C8</f>
        <v>33500000</v>
      </c>
    </row>
    <row r="10" ht="12.75">
      <c r="A10" s="223" t="s">
        <v>451</v>
      </c>
    </row>
    <row r="11" ht="12.75">
      <c r="A11" s="223" t="s">
        <v>452</v>
      </c>
    </row>
    <row r="12" ht="12.75">
      <c r="A12" s="223" t="s">
        <v>53</v>
      </c>
    </row>
    <row r="13" ht="12.75">
      <c r="A13" s="223"/>
    </row>
    <row r="14" ht="12.75">
      <c r="A14" s="223"/>
    </row>
    <row r="15" ht="12.75">
      <c r="A15" s="19"/>
    </row>
    <row r="16" ht="12.75">
      <c r="A16" s="3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>
    <tabColor rgb="FFC00000"/>
  </sheetPr>
  <dimension ref="A1:F195"/>
  <sheetViews>
    <sheetView zoomScaleSheetLayoutView="110" zoomScalePageLayoutView="0" workbookViewId="0" topLeftCell="A184">
      <selection activeCell="A190" sqref="A190:A194"/>
    </sheetView>
  </sheetViews>
  <sheetFormatPr defaultColWidth="9.140625" defaultRowHeight="12.75"/>
  <cols>
    <col min="1" max="1" width="81.7109375" style="19" customWidth="1"/>
    <col min="2" max="2" width="24.8515625" style="3" customWidth="1"/>
    <col min="3" max="3" width="15.421875" style="3" customWidth="1"/>
    <col min="4" max="4" width="15.7109375" style="3" customWidth="1"/>
  </cols>
  <sheetData>
    <row r="1" spans="1:4" s="4" customFormat="1" ht="15">
      <c r="A1" s="226" t="s">
        <v>455</v>
      </c>
      <c r="B1" s="239"/>
      <c r="C1" s="239"/>
      <c r="D1" s="239"/>
    </row>
    <row r="2" spans="1:4" s="7" customFormat="1" ht="35.25" customHeight="1">
      <c r="A2" s="66" t="s">
        <v>37</v>
      </c>
      <c r="B2" s="66" t="s">
        <v>3</v>
      </c>
      <c r="C2" s="66" t="s">
        <v>39</v>
      </c>
      <c r="D2" s="243" t="s">
        <v>40</v>
      </c>
    </row>
    <row r="3" spans="1:4" s="7" customFormat="1" ht="14.25" customHeight="1">
      <c r="A3" s="240">
        <v>1</v>
      </c>
      <c r="B3" s="241">
        <v>3</v>
      </c>
      <c r="C3" s="241">
        <v>6</v>
      </c>
      <c r="D3" s="242">
        <v>9</v>
      </c>
    </row>
    <row r="4" spans="1:4" s="7" customFormat="1" ht="32.25" customHeight="1">
      <c r="A4" s="121" t="s">
        <v>22</v>
      </c>
      <c r="B4" s="66"/>
      <c r="C4" s="52">
        <v>9489931.01</v>
      </c>
      <c r="D4" s="52">
        <v>9489931.01</v>
      </c>
    </row>
    <row r="5" spans="1:4" ht="23.25" customHeight="1">
      <c r="A5" s="238" t="s">
        <v>125</v>
      </c>
      <c r="B5" s="87"/>
      <c r="C5" s="64">
        <f>C10+C15+C20+C24+C28+C32+C37+C41+C45+C49+C53+C57+C61+C65+C69+C73+C77+C81+C85+C89+C93+C97+C103+C107+C111+C115</f>
        <v>6877917.229999999</v>
      </c>
      <c r="D5" s="64">
        <f>D10+D15+D20+D24+D28+D32+D37+D41+D45+D49+D53+D57+D61+D65+D69+D73+D77+D81+D85+D89+D93+D97+D103+D107+D111+D115</f>
        <v>6877917.229999999</v>
      </c>
    </row>
    <row r="6" spans="1:4" ht="18" customHeight="1">
      <c r="A6" s="200" t="s">
        <v>223</v>
      </c>
      <c r="B6" s="66" t="s">
        <v>146</v>
      </c>
      <c r="C6" s="52">
        <f>66636.3+155484.76+222331</f>
        <v>444452.06</v>
      </c>
      <c r="D6" s="48">
        <f>66636.3+155484.76+222331</f>
        <v>444452.06</v>
      </c>
    </row>
    <row r="7" spans="1:4" ht="14.25" customHeight="1">
      <c r="A7" s="200" t="s">
        <v>223</v>
      </c>
      <c r="B7" s="66" t="s">
        <v>60</v>
      </c>
      <c r="C7" s="52">
        <f>6092.88+5390.73</f>
        <v>11483.61</v>
      </c>
      <c r="D7" s="48">
        <f>6092.88+5390.73</f>
        <v>11483.61</v>
      </c>
    </row>
    <row r="8" spans="1:4" ht="23.25" customHeight="1">
      <c r="A8" s="200" t="s">
        <v>223</v>
      </c>
      <c r="B8" s="66" t="s">
        <v>145</v>
      </c>
      <c r="C8" s="52">
        <v>3240</v>
      </c>
      <c r="D8" s="48">
        <v>3240</v>
      </c>
    </row>
    <row r="9" spans="1:4" ht="18" customHeight="1">
      <c r="A9" s="200" t="s">
        <v>223</v>
      </c>
      <c r="B9" s="66" t="s">
        <v>184</v>
      </c>
      <c r="C9" s="52">
        <f>6211+5684</f>
        <v>11895</v>
      </c>
      <c r="D9" s="48">
        <f>6211+5684</f>
        <v>11895</v>
      </c>
    </row>
    <row r="10" spans="1:4" ht="16.5" customHeight="1">
      <c r="A10" s="163" t="s">
        <v>58</v>
      </c>
      <c r="B10" s="66"/>
      <c r="C10" s="52">
        <f>C6+C7+C9+C8</f>
        <v>471070.67</v>
      </c>
      <c r="D10" s="52">
        <f>D6+D7+D9+D8</f>
        <v>471070.67</v>
      </c>
    </row>
    <row r="11" spans="1:6" s="4" customFormat="1" ht="12" customHeight="1">
      <c r="A11" s="199" t="s">
        <v>224</v>
      </c>
      <c r="B11" s="85" t="s">
        <v>60</v>
      </c>
      <c r="C11" s="67">
        <f>6233.76+2648.91</f>
        <v>8882.67</v>
      </c>
      <c r="D11" s="83">
        <f>6233.76+2648.91</f>
        <v>8882.67</v>
      </c>
      <c r="E11" s="29"/>
      <c r="F11" s="29"/>
    </row>
    <row r="12" spans="1:6" s="4" customFormat="1" ht="15" customHeight="1">
      <c r="A12" s="199" t="s">
        <v>224</v>
      </c>
      <c r="B12" s="103" t="s">
        <v>184</v>
      </c>
      <c r="C12" s="68">
        <f>6211+2842</f>
        <v>9053</v>
      </c>
      <c r="D12" s="86">
        <f>6211+2842</f>
        <v>9053</v>
      </c>
      <c r="E12" s="29"/>
      <c r="F12" s="29"/>
    </row>
    <row r="13" spans="1:6" s="4" customFormat="1" ht="26.25" customHeight="1">
      <c r="A13" s="199" t="s">
        <v>224</v>
      </c>
      <c r="B13" s="103" t="s">
        <v>145</v>
      </c>
      <c r="C13" s="47">
        <v>3240</v>
      </c>
      <c r="D13" s="45">
        <v>3240</v>
      </c>
      <c r="E13" s="29"/>
      <c r="F13" s="29"/>
    </row>
    <row r="14" spans="1:6" s="4" customFormat="1" ht="18" customHeight="1">
      <c r="A14" s="199" t="s">
        <v>224</v>
      </c>
      <c r="B14" s="87" t="s">
        <v>140</v>
      </c>
      <c r="C14" s="64">
        <f>223227+107854</f>
        <v>331081</v>
      </c>
      <c r="D14" s="88">
        <f>223227+107854</f>
        <v>331081</v>
      </c>
      <c r="E14" s="29"/>
      <c r="F14" s="29"/>
    </row>
    <row r="15" spans="1:6" s="4" customFormat="1" ht="15.75" customHeight="1">
      <c r="A15" s="163" t="s">
        <v>58</v>
      </c>
      <c r="B15" s="66"/>
      <c r="C15" s="52">
        <f>C11+C14+C13+C12</f>
        <v>352256.67</v>
      </c>
      <c r="D15" s="52">
        <f>D11+D14+D13+D12</f>
        <v>352256.67</v>
      </c>
      <c r="E15" s="29"/>
      <c r="F15" s="29"/>
    </row>
    <row r="16" spans="1:6" s="4" customFormat="1" ht="23.25" customHeight="1">
      <c r="A16" s="200" t="s">
        <v>144</v>
      </c>
      <c r="B16" s="66" t="s">
        <v>145</v>
      </c>
      <c r="C16" s="52">
        <v>3780.48</v>
      </c>
      <c r="D16" s="51">
        <v>3780.48</v>
      </c>
      <c r="E16" s="29"/>
      <c r="F16" s="29"/>
    </row>
    <row r="17" spans="1:6" s="4" customFormat="1" ht="15" customHeight="1">
      <c r="A17" s="200" t="s">
        <v>144</v>
      </c>
      <c r="B17" s="66" t="s">
        <v>183</v>
      </c>
      <c r="C17" s="52">
        <v>15601.86</v>
      </c>
      <c r="D17" s="51">
        <v>15601.86</v>
      </c>
      <c r="E17" s="29"/>
      <c r="F17" s="29"/>
    </row>
    <row r="18" spans="1:6" s="4" customFormat="1" ht="14.25" customHeight="1">
      <c r="A18" s="200" t="s">
        <v>144</v>
      </c>
      <c r="B18" s="66" t="s">
        <v>207</v>
      </c>
      <c r="C18" s="52">
        <f>283349+255156</f>
        <v>538505</v>
      </c>
      <c r="D18" s="51">
        <f>283349+255156</f>
        <v>538505</v>
      </c>
      <c r="E18" s="29"/>
      <c r="F18" s="29"/>
    </row>
    <row r="19" spans="1:6" s="4" customFormat="1" ht="14.25" customHeight="1">
      <c r="A19" s="200" t="s">
        <v>144</v>
      </c>
      <c r="B19" s="66" t="s">
        <v>102</v>
      </c>
      <c r="C19" s="52">
        <v>7271.94</v>
      </c>
      <c r="D19" s="51">
        <v>7271.94</v>
      </c>
      <c r="E19" s="29"/>
      <c r="F19" s="29"/>
    </row>
    <row r="20" spans="1:6" s="4" customFormat="1" ht="15.75" customHeight="1">
      <c r="A20" s="163" t="s">
        <v>58</v>
      </c>
      <c r="B20" s="66"/>
      <c r="C20" s="52">
        <f>C16+C17+C18+C19</f>
        <v>565159.2799999999</v>
      </c>
      <c r="D20" s="52">
        <f>D16+D17+D18+D19</f>
        <v>565159.2799999999</v>
      </c>
      <c r="E20" s="29"/>
      <c r="F20" s="29"/>
    </row>
    <row r="21" spans="1:6" s="4" customFormat="1" ht="15" customHeight="1">
      <c r="A21" s="200" t="s">
        <v>126</v>
      </c>
      <c r="B21" s="66" t="s">
        <v>140</v>
      </c>
      <c r="C21" s="52">
        <f>77054+148103</f>
        <v>225157</v>
      </c>
      <c r="D21" s="51">
        <f>77054+148103</f>
        <v>225157</v>
      </c>
      <c r="E21" s="29"/>
      <c r="F21" s="29"/>
    </row>
    <row r="22" spans="1:6" s="4" customFormat="1" ht="15.75" customHeight="1">
      <c r="A22" s="200" t="s">
        <v>126</v>
      </c>
      <c r="B22" s="66" t="s">
        <v>60</v>
      </c>
      <c r="C22" s="52">
        <f>2165.34+4149.21</f>
        <v>6314.55</v>
      </c>
      <c r="D22" s="51">
        <f>2165.34+4149.21</f>
        <v>6314.55</v>
      </c>
      <c r="E22" s="29"/>
      <c r="F22" s="29"/>
    </row>
    <row r="23" spans="1:6" s="4" customFormat="1" ht="12" customHeight="1">
      <c r="A23" s="200" t="s">
        <v>126</v>
      </c>
      <c r="B23" s="66" t="s">
        <v>184</v>
      </c>
      <c r="C23" s="52">
        <v>6211</v>
      </c>
      <c r="D23" s="51">
        <v>6211</v>
      </c>
      <c r="E23" s="29"/>
      <c r="F23" s="29"/>
    </row>
    <row r="24" spans="1:6" s="4" customFormat="1" ht="15" customHeight="1">
      <c r="A24" s="163" t="s">
        <v>58</v>
      </c>
      <c r="B24" s="47"/>
      <c r="C24" s="52">
        <f>C21+C22+C23</f>
        <v>237682.55</v>
      </c>
      <c r="D24" s="52">
        <f>D21+D22+D23</f>
        <v>237682.55</v>
      </c>
      <c r="E24" s="29"/>
      <c r="F24" s="29"/>
    </row>
    <row r="25" spans="1:6" s="4" customFormat="1" ht="15.75" customHeight="1">
      <c r="A25" s="200" t="s">
        <v>244</v>
      </c>
      <c r="B25" s="66" t="s">
        <v>184</v>
      </c>
      <c r="C25" s="52">
        <v>6211</v>
      </c>
      <c r="D25" s="48">
        <v>6211</v>
      </c>
      <c r="E25" s="29"/>
      <c r="F25" s="29"/>
    </row>
    <row r="26" spans="1:6" s="4" customFormat="1" ht="15" customHeight="1">
      <c r="A26" s="200" t="s">
        <v>244</v>
      </c>
      <c r="B26" s="66" t="s">
        <v>60</v>
      </c>
      <c r="C26" s="52">
        <f>4479.15+1672.83</f>
        <v>6151.98</v>
      </c>
      <c r="D26" s="48">
        <f>4479.15+1672.83</f>
        <v>6151.98</v>
      </c>
      <c r="E26" s="29"/>
      <c r="F26" s="29"/>
    </row>
    <row r="27" spans="1:6" s="4" customFormat="1" ht="15" customHeight="1">
      <c r="A27" s="200" t="s">
        <v>244</v>
      </c>
      <c r="B27" s="66" t="s">
        <v>45</v>
      </c>
      <c r="C27" s="52">
        <f>163571+59714</f>
        <v>223285</v>
      </c>
      <c r="D27" s="48">
        <f>163571+59714</f>
        <v>223285</v>
      </c>
      <c r="E27" s="29"/>
      <c r="F27" s="29"/>
    </row>
    <row r="28" spans="1:6" s="4" customFormat="1" ht="17.25" customHeight="1">
      <c r="A28" s="163" t="s">
        <v>58</v>
      </c>
      <c r="B28" s="66"/>
      <c r="C28" s="52">
        <f>C25+C27+C26</f>
        <v>235647.98</v>
      </c>
      <c r="D28" s="52">
        <f>D25+D27+D26</f>
        <v>235647.98</v>
      </c>
      <c r="E28" s="29"/>
      <c r="F28" s="29"/>
    </row>
    <row r="29" spans="1:6" s="4" customFormat="1" ht="14.25" customHeight="1">
      <c r="A29" s="200" t="s">
        <v>127</v>
      </c>
      <c r="B29" s="66" t="s">
        <v>60</v>
      </c>
      <c r="C29" s="52">
        <f>3479.64+2541.81</f>
        <v>6021.45</v>
      </c>
      <c r="D29" s="51">
        <f>3479.64+2541.81</f>
        <v>6021.45</v>
      </c>
      <c r="E29" s="29"/>
      <c r="F29" s="29"/>
    </row>
    <row r="30" spans="1:6" s="4" customFormat="1" ht="16.5" customHeight="1">
      <c r="A30" s="200" t="s">
        <v>127</v>
      </c>
      <c r="B30" s="66" t="s">
        <v>140</v>
      </c>
      <c r="C30" s="52">
        <f>124182+94036</f>
        <v>218218</v>
      </c>
      <c r="D30" s="51">
        <f>124182+94036</f>
        <v>218218</v>
      </c>
      <c r="E30" s="29"/>
      <c r="F30" s="29"/>
    </row>
    <row r="31" spans="1:6" s="4" customFormat="1" ht="16.5" customHeight="1">
      <c r="A31" s="200" t="s">
        <v>127</v>
      </c>
      <c r="B31" s="66" t="s">
        <v>184</v>
      </c>
      <c r="C31" s="52">
        <v>6211</v>
      </c>
      <c r="D31" s="51">
        <v>6211</v>
      </c>
      <c r="E31" s="29"/>
      <c r="F31" s="29"/>
    </row>
    <row r="32" spans="1:6" s="4" customFormat="1" ht="12.75">
      <c r="A32" s="46" t="s">
        <v>58</v>
      </c>
      <c r="B32" s="66"/>
      <c r="C32" s="96">
        <f>C29+C30+C31</f>
        <v>230450.45</v>
      </c>
      <c r="D32" s="96">
        <f>D29+D30+D31</f>
        <v>230450.45</v>
      </c>
      <c r="E32" s="29"/>
      <c r="F32" s="29"/>
    </row>
    <row r="33" spans="1:6" s="4" customFormat="1" ht="18.75" customHeight="1">
      <c r="A33" s="46" t="s">
        <v>436</v>
      </c>
      <c r="B33" s="66"/>
      <c r="C33" s="52"/>
      <c r="D33" s="52"/>
      <c r="E33" s="29"/>
      <c r="F33" s="29"/>
    </row>
    <row r="34" spans="1:6" s="4" customFormat="1" ht="18.75" customHeight="1">
      <c r="A34" s="200" t="s">
        <v>258</v>
      </c>
      <c r="B34" s="66" t="s">
        <v>60</v>
      </c>
      <c r="C34" s="52">
        <v>1487.13</v>
      </c>
      <c r="D34" s="52">
        <v>1487.13</v>
      </c>
      <c r="E34" s="29"/>
      <c r="F34" s="29"/>
    </row>
    <row r="35" spans="1:6" s="4" customFormat="1" ht="18.75" customHeight="1">
      <c r="A35" s="200" t="s">
        <v>258</v>
      </c>
      <c r="B35" s="66" t="s">
        <v>146</v>
      </c>
      <c r="C35" s="52">
        <v>61751</v>
      </c>
      <c r="D35" s="52">
        <v>61751</v>
      </c>
      <c r="E35" s="29"/>
      <c r="F35" s="29"/>
    </row>
    <row r="36" spans="1:6" ht="18" customHeight="1">
      <c r="A36" s="200" t="s">
        <v>258</v>
      </c>
      <c r="B36" s="66" t="s">
        <v>184</v>
      </c>
      <c r="C36" s="47">
        <v>5684</v>
      </c>
      <c r="D36" s="112">
        <v>5684</v>
      </c>
      <c r="E36" s="29"/>
      <c r="F36" s="29"/>
    </row>
    <row r="37" spans="1:6" ht="18" customHeight="1">
      <c r="A37" s="46" t="s">
        <v>58</v>
      </c>
      <c r="B37" s="66"/>
      <c r="C37" s="52">
        <f>C36+C34+C35</f>
        <v>68922.13</v>
      </c>
      <c r="D37" s="52">
        <f>D36+D34+D35</f>
        <v>68922.13</v>
      </c>
      <c r="E37" s="29"/>
      <c r="F37" s="29"/>
    </row>
    <row r="38" spans="1:6" ht="16.5" customHeight="1">
      <c r="A38" s="200" t="s">
        <v>225</v>
      </c>
      <c r="B38" s="66" t="s">
        <v>60</v>
      </c>
      <c r="C38" s="52">
        <v>955.5</v>
      </c>
      <c r="D38" s="48">
        <v>955.5</v>
      </c>
      <c r="E38" s="32"/>
      <c r="F38" s="32"/>
    </row>
    <row r="39" spans="1:6" ht="15" customHeight="1">
      <c r="A39" s="200" t="s">
        <v>225</v>
      </c>
      <c r="B39" s="66" t="s">
        <v>184</v>
      </c>
      <c r="C39" s="52">
        <v>4105</v>
      </c>
      <c r="D39" s="48">
        <v>4105</v>
      </c>
      <c r="E39" s="32"/>
      <c r="F39" s="32"/>
    </row>
    <row r="40" spans="1:6" ht="14.25" customHeight="1">
      <c r="A40" s="200" t="s">
        <v>225</v>
      </c>
      <c r="B40" s="66" t="s">
        <v>140</v>
      </c>
      <c r="C40" s="52">
        <v>34067</v>
      </c>
      <c r="D40" s="48">
        <v>34067</v>
      </c>
      <c r="E40" s="32"/>
      <c r="F40" s="32"/>
    </row>
    <row r="41" spans="1:6" ht="13.5" customHeight="1">
      <c r="A41" s="46" t="s">
        <v>58</v>
      </c>
      <c r="B41" s="66"/>
      <c r="C41" s="52">
        <f>C38+C40+C39</f>
        <v>39127.5</v>
      </c>
      <c r="D41" s="52">
        <f>D38+D40+D39</f>
        <v>39127.5</v>
      </c>
      <c r="E41" s="32"/>
      <c r="F41" s="32"/>
    </row>
    <row r="42" spans="1:6" ht="19.5" customHeight="1">
      <c r="A42" s="46" t="s">
        <v>278</v>
      </c>
      <c r="B42" s="66" t="s">
        <v>184</v>
      </c>
      <c r="C42" s="52">
        <v>7105</v>
      </c>
      <c r="D42" s="52">
        <v>7105</v>
      </c>
      <c r="E42" s="32"/>
      <c r="F42" s="32"/>
    </row>
    <row r="43" spans="1:6" ht="19.5" customHeight="1">
      <c r="A43" s="46" t="s">
        <v>278</v>
      </c>
      <c r="B43" s="66" t="s">
        <v>60</v>
      </c>
      <c r="C43" s="52">
        <v>5512.5</v>
      </c>
      <c r="D43" s="52">
        <v>5512.5</v>
      </c>
      <c r="E43" s="32"/>
      <c r="F43" s="32"/>
    </row>
    <row r="44" spans="1:6" ht="19.5" customHeight="1">
      <c r="A44" s="46" t="s">
        <v>278</v>
      </c>
      <c r="B44" s="66" t="s">
        <v>147</v>
      </c>
      <c r="C44" s="52">
        <v>227052</v>
      </c>
      <c r="D44" s="52">
        <v>227052</v>
      </c>
      <c r="E44" s="32"/>
      <c r="F44" s="32"/>
    </row>
    <row r="45" spans="1:6" ht="19.5" customHeight="1">
      <c r="A45" s="46" t="s">
        <v>58</v>
      </c>
      <c r="B45" s="66"/>
      <c r="C45" s="52">
        <f>C42+C44+C43</f>
        <v>239669.5</v>
      </c>
      <c r="D45" s="52">
        <f>D42+D44+D43</f>
        <v>239669.5</v>
      </c>
      <c r="E45" s="32"/>
      <c r="F45" s="32"/>
    </row>
    <row r="46" spans="1:4" ht="16.5" customHeight="1">
      <c r="A46" s="200" t="s">
        <v>226</v>
      </c>
      <c r="B46" s="66" t="s">
        <v>146</v>
      </c>
      <c r="C46" s="52">
        <f>68116.2+158937.8</f>
        <v>227054</v>
      </c>
      <c r="D46" s="48">
        <f>68116.2+158937.8</f>
        <v>227054</v>
      </c>
    </row>
    <row r="47" spans="1:4" ht="16.5" customHeight="1">
      <c r="A47" s="200" t="s">
        <v>226</v>
      </c>
      <c r="B47" s="66" t="s">
        <v>60</v>
      </c>
      <c r="C47" s="52">
        <v>5474.61</v>
      </c>
      <c r="D47" s="48">
        <v>5474.61</v>
      </c>
    </row>
    <row r="48" spans="1:4" ht="16.5" customHeight="1">
      <c r="A48" s="200" t="s">
        <v>226</v>
      </c>
      <c r="B48" s="66" t="s">
        <v>184</v>
      </c>
      <c r="C48" s="52">
        <v>7105</v>
      </c>
      <c r="D48" s="48">
        <v>7105</v>
      </c>
    </row>
    <row r="49" spans="1:4" ht="16.5" customHeight="1">
      <c r="A49" s="46"/>
      <c r="B49" s="66"/>
      <c r="C49" s="52">
        <f>C46+C48+C47</f>
        <v>239633.61</v>
      </c>
      <c r="D49" s="52">
        <f>D46+D48+D47</f>
        <v>239633.61</v>
      </c>
    </row>
    <row r="50" spans="1:4" ht="18.75" customHeight="1">
      <c r="A50" s="200" t="s">
        <v>206</v>
      </c>
      <c r="B50" s="66" t="s">
        <v>147</v>
      </c>
      <c r="C50" s="52">
        <v>225966</v>
      </c>
      <c r="D50" s="48">
        <v>225966</v>
      </c>
    </row>
    <row r="51" spans="1:4" ht="14.25" customHeight="1">
      <c r="A51" s="200" t="s">
        <v>206</v>
      </c>
      <c r="B51" s="66" t="s">
        <v>184</v>
      </c>
      <c r="C51" s="52">
        <v>6211</v>
      </c>
      <c r="D51" s="48">
        <v>6211</v>
      </c>
    </row>
    <row r="52" spans="1:4" ht="15" customHeight="1">
      <c r="A52" s="200" t="s">
        <v>206</v>
      </c>
      <c r="B52" s="66" t="s">
        <v>60</v>
      </c>
      <c r="C52" s="52">
        <v>6245.04</v>
      </c>
      <c r="D52" s="48">
        <v>6245.04</v>
      </c>
    </row>
    <row r="53" spans="1:4" ht="17.25" customHeight="1">
      <c r="A53" s="46" t="s">
        <v>58</v>
      </c>
      <c r="B53" s="66"/>
      <c r="C53" s="52">
        <f>C50+C52+C51</f>
        <v>238422.04</v>
      </c>
      <c r="D53" s="52">
        <f>D50+D52+D51</f>
        <v>238422.04</v>
      </c>
    </row>
    <row r="54" spans="1:4" ht="18" customHeight="1">
      <c r="A54" s="227" t="s">
        <v>259</v>
      </c>
      <c r="B54" s="66" t="s">
        <v>146</v>
      </c>
      <c r="C54" s="52">
        <f>67764+158116</f>
        <v>225880</v>
      </c>
      <c r="D54" s="48">
        <f>67764+158116</f>
        <v>225880</v>
      </c>
    </row>
    <row r="55" spans="1:4" ht="15.75" customHeight="1">
      <c r="A55" s="227" t="s">
        <v>259</v>
      </c>
      <c r="B55" s="66" t="s">
        <v>184</v>
      </c>
      <c r="C55" s="52">
        <v>6211</v>
      </c>
      <c r="D55" s="48">
        <v>6211</v>
      </c>
    </row>
    <row r="56" spans="1:4" ht="13.5" customHeight="1">
      <c r="A56" s="227" t="s">
        <v>259</v>
      </c>
      <c r="B56" s="66" t="s">
        <v>60</v>
      </c>
      <c r="C56" s="52">
        <v>6182.19</v>
      </c>
      <c r="D56" s="48">
        <v>6182.19</v>
      </c>
    </row>
    <row r="57" spans="1:4" ht="18" customHeight="1">
      <c r="A57" s="46" t="s">
        <v>58</v>
      </c>
      <c r="B57" s="66"/>
      <c r="C57" s="52">
        <f>C54+C56+C55</f>
        <v>238273.19</v>
      </c>
      <c r="D57" s="52">
        <f>D54+D56+D55</f>
        <v>238273.19</v>
      </c>
    </row>
    <row r="58" spans="1:4" ht="13.5" customHeight="1">
      <c r="A58" s="228" t="s">
        <v>230</v>
      </c>
      <c r="B58" s="66" t="s">
        <v>184</v>
      </c>
      <c r="C58" s="52">
        <v>6211</v>
      </c>
      <c r="D58" s="51">
        <v>6211</v>
      </c>
    </row>
    <row r="59" spans="1:4" ht="17.25" customHeight="1">
      <c r="A59" s="228" t="s">
        <v>230</v>
      </c>
      <c r="B59" s="66" t="s">
        <v>185</v>
      </c>
      <c r="C59" s="52">
        <f>67752+158088</f>
        <v>225840</v>
      </c>
      <c r="D59" s="51">
        <f>67752+158088</f>
        <v>225840</v>
      </c>
    </row>
    <row r="60" spans="1:4" ht="17.25" customHeight="1">
      <c r="A60" s="228" t="s">
        <v>230</v>
      </c>
      <c r="B60" s="66" t="s">
        <v>60</v>
      </c>
      <c r="C60" s="52">
        <v>6219.63</v>
      </c>
      <c r="D60" s="51">
        <v>6219.63</v>
      </c>
    </row>
    <row r="61" spans="1:4" ht="15.75" customHeight="1">
      <c r="A61" s="46" t="s">
        <v>58</v>
      </c>
      <c r="B61" s="66"/>
      <c r="C61" s="52">
        <f>C58+C59+C60</f>
        <v>238270.63</v>
      </c>
      <c r="D61" s="52">
        <f>D58+D59+D60</f>
        <v>238270.63</v>
      </c>
    </row>
    <row r="62" spans="1:4" ht="16.5" customHeight="1">
      <c r="A62" s="210" t="s">
        <v>231</v>
      </c>
      <c r="B62" s="66" t="s">
        <v>146</v>
      </c>
      <c r="C62" s="52">
        <f>44490+103810</f>
        <v>148300</v>
      </c>
      <c r="D62" s="48">
        <f>44490+103810</f>
        <v>148300</v>
      </c>
    </row>
    <row r="63" spans="1:4" ht="14.25" customHeight="1">
      <c r="A63" s="210" t="s">
        <v>231</v>
      </c>
      <c r="B63" s="66" t="s">
        <v>60</v>
      </c>
      <c r="C63" s="52">
        <v>4035</v>
      </c>
      <c r="D63" s="48">
        <v>4035</v>
      </c>
    </row>
    <row r="64" spans="1:4" ht="14.25" customHeight="1">
      <c r="A64" s="210" t="s">
        <v>231</v>
      </c>
      <c r="B64" s="66" t="s">
        <v>184</v>
      </c>
      <c r="C64" s="52">
        <v>6211</v>
      </c>
      <c r="D64" s="48">
        <v>6211</v>
      </c>
    </row>
    <row r="65" spans="1:4" ht="17.25" customHeight="1">
      <c r="A65" s="46" t="s">
        <v>58</v>
      </c>
      <c r="B65" s="66"/>
      <c r="C65" s="52">
        <f>C62+C63+C64</f>
        <v>158546</v>
      </c>
      <c r="D65" s="52">
        <f>D62+D63+D64</f>
        <v>158546</v>
      </c>
    </row>
    <row r="66" spans="1:4" ht="17.25" customHeight="1">
      <c r="A66" s="46" t="s">
        <v>260</v>
      </c>
      <c r="B66" s="66" t="s">
        <v>184</v>
      </c>
      <c r="C66" s="52">
        <v>7105</v>
      </c>
      <c r="D66" s="52">
        <v>7105</v>
      </c>
    </row>
    <row r="67" spans="1:4" ht="17.25" customHeight="1">
      <c r="A67" s="46" t="s">
        <v>260</v>
      </c>
      <c r="B67" s="66" t="s">
        <v>188</v>
      </c>
      <c r="C67" s="52">
        <v>225637</v>
      </c>
      <c r="D67" s="52">
        <v>225637</v>
      </c>
    </row>
    <row r="68" spans="1:4" ht="17.25" customHeight="1">
      <c r="A68" s="46" t="s">
        <v>260</v>
      </c>
      <c r="B68" s="66" t="s">
        <v>102</v>
      </c>
      <c r="C68" s="52">
        <v>5454.36</v>
      </c>
      <c r="D68" s="52">
        <v>5454.36</v>
      </c>
    </row>
    <row r="69" spans="1:4" ht="17.25" customHeight="1">
      <c r="A69" s="46" t="s">
        <v>58</v>
      </c>
      <c r="B69" s="66"/>
      <c r="C69" s="52">
        <f>C66+C68+C67</f>
        <v>238196.36</v>
      </c>
      <c r="D69" s="52">
        <f>D66+D68+D67</f>
        <v>238196.36</v>
      </c>
    </row>
    <row r="70" spans="1:4" ht="19.5" customHeight="1">
      <c r="A70" s="46" t="s">
        <v>227</v>
      </c>
      <c r="B70" s="66" t="s">
        <v>184</v>
      </c>
      <c r="C70" s="52">
        <v>7105</v>
      </c>
      <c r="D70" s="52">
        <v>7105</v>
      </c>
    </row>
    <row r="71" spans="1:4" ht="19.5" customHeight="1">
      <c r="A71" s="46" t="s">
        <v>227</v>
      </c>
      <c r="B71" s="66" t="s">
        <v>146</v>
      </c>
      <c r="C71" s="52">
        <v>227066</v>
      </c>
      <c r="D71" s="52">
        <v>227066</v>
      </c>
    </row>
    <row r="72" spans="1:4" ht="15.75" customHeight="1">
      <c r="A72" s="46" t="s">
        <v>227</v>
      </c>
      <c r="B72" s="66" t="s">
        <v>102</v>
      </c>
      <c r="C72" s="52">
        <v>5499.33</v>
      </c>
      <c r="D72" s="52">
        <v>5499.33</v>
      </c>
    </row>
    <row r="73" spans="1:4" ht="16.5" customHeight="1">
      <c r="A73" s="46" t="s">
        <v>58</v>
      </c>
      <c r="B73" s="66"/>
      <c r="C73" s="52">
        <f>C70+C72+C71</f>
        <v>239670.33</v>
      </c>
      <c r="D73" s="52">
        <f>D70+D72+D71</f>
        <v>239670.33</v>
      </c>
    </row>
    <row r="74" spans="1:4" ht="14.25" customHeight="1">
      <c r="A74" s="200" t="s">
        <v>228</v>
      </c>
      <c r="B74" s="66" t="s">
        <v>184</v>
      </c>
      <c r="C74" s="52">
        <v>6434</v>
      </c>
      <c r="D74" s="52">
        <v>6434</v>
      </c>
    </row>
    <row r="75" spans="1:4" ht="14.25" customHeight="1">
      <c r="A75" s="200" t="s">
        <v>228</v>
      </c>
      <c r="B75" s="66" t="s">
        <v>60</v>
      </c>
      <c r="C75" s="52">
        <v>6209.37</v>
      </c>
      <c r="D75" s="52">
        <v>6209.37</v>
      </c>
    </row>
    <row r="76" spans="1:4" ht="18" customHeight="1">
      <c r="A76" s="200" t="s">
        <v>228</v>
      </c>
      <c r="B76" s="66" t="s">
        <v>146</v>
      </c>
      <c r="C76" s="52">
        <f>67446.3+157312.7</f>
        <v>224759</v>
      </c>
      <c r="D76" s="52">
        <f>67446.3+157312.7</f>
        <v>224759</v>
      </c>
    </row>
    <row r="77" spans="1:4" ht="15.75" customHeight="1">
      <c r="A77" s="46" t="s">
        <v>58</v>
      </c>
      <c r="B77" s="66"/>
      <c r="C77" s="52">
        <f>C74+C75+C76</f>
        <v>237402.37</v>
      </c>
      <c r="D77" s="52">
        <f>D74+D75+D76</f>
        <v>237402.37</v>
      </c>
    </row>
    <row r="78" spans="1:4" ht="19.5" customHeight="1">
      <c r="A78" s="200" t="s">
        <v>229</v>
      </c>
      <c r="B78" s="66" t="s">
        <v>184</v>
      </c>
      <c r="C78" s="52">
        <v>7105</v>
      </c>
      <c r="D78" s="52">
        <v>7105</v>
      </c>
    </row>
    <row r="79" spans="1:4" ht="12.75" customHeight="1">
      <c r="A79" s="200" t="s">
        <v>229</v>
      </c>
      <c r="B79" s="66" t="s">
        <v>60</v>
      </c>
      <c r="C79" s="52">
        <v>18614.76</v>
      </c>
      <c r="D79" s="52">
        <v>18614.76</v>
      </c>
    </row>
    <row r="80" spans="1:4" ht="22.5" customHeight="1">
      <c r="A80" s="200" t="s">
        <v>229</v>
      </c>
      <c r="B80" s="66" t="s">
        <v>207</v>
      </c>
      <c r="C80" s="52">
        <v>674119</v>
      </c>
      <c r="D80" s="52">
        <v>674119</v>
      </c>
    </row>
    <row r="81" spans="1:4" ht="16.5" customHeight="1">
      <c r="A81" s="46" t="s">
        <v>58</v>
      </c>
      <c r="B81" s="66"/>
      <c r="C81" s="52">
        <f>C78+C80+C79</f>
        <v>699838.76</v>
      </c>
      <c r="D81" s="52">
        <f>D78+D80+D79</f>
        <v>699838.76</v>
      </c>
    </row>
    <row r="82" spans="1:4" ht="20.25" customHeight="1">
      <c r="A82" s="46" t="s">
        <v>371</v>
      </c>
      <c r="B82" s="66" t="s">
        <v>184</v>
      </c>
      <c r="C82" s="52">
        <v>7105</v>
      </c>
      <c r="D82" s="52">
        <v>7105</v>
      </c>
    </row>
    <row r="83" spans="1:4" ht="20.25" customHeight="1">
      <c r="A83" s="46" t="s">
        <v>371</v>
      </c>
      <c r="B83" s="66" t="s">
        <v>60</v>
      </c>
      <c r="C83" s="52">
        <v>4241.04</v>
      </c>
      <c r="D83" s="52">
        <v>4241.04</v>
      </c>
    </row>
    <row r="84" spans="1:4" ht="20.25" customHeight="1">
      <c r="A84" s="46" t="s">
        <v>371</v>
      </c>
      <c r="B84" s="66" t="s">
        <v>418</v>
      </c>
      <c r="C84" s="52">
        <v>174430.8</v>
      </c>
      <c r="D84" s="52">
        <v>174430.8</v>
      </c>
    </row>
    <row r="85" spans="1:4" ht="17.25" customHeight="1">
      <c r="A85" s="46" t="s">
        <v>58</v>
      </c>
      <c r="B85" s="66"/>
      <c r="C85" s="52">
        <f>C82+C84+C83</f>
        <v>185776.84</v>
      </c>
      <c r="D85" s="52">
        <f>D82+D84+D83</f>
        <v>185776.84</v>
      </c>
    </row>
    <row r="86" spans="1:4" ht="19.5" customHeight="1">
      <c r="A86" s="46" t="s">
        <v>372</v>
      </c>
      <c r="B86" s="66" t="s">
        <v>185</v>
      </c>
      <c r="C86" s="52">
        <v>131532</v>
      </c>
      <c r="D86" s="52">
        <v>131532</v>
      </c>
    </row>
    <row r="87" spans="1:4" ht="19.5" customHeight="1">
      <c r="A87" s="46" t="s">
        <v>372</v>
      </c>
      <c r="B87" s="66" t="s">
        <v>184</v>
      </c>
      <c r="C87" s="52">
        <v>7105</v>
      </c>
      <c r="D87" s="52">
        <v>7105</v>
      </c>
    </row>
    <row r="88" spans="1:4" ht="19.5" customHeight="1">
      <c r="A88" s="46" t="s">
        <v>372</v>
      </c>
      <c r="B88" s="66" t="s">
        <v>102</v>
      </c>
      <c r="C88" s="52">
        <v>3194.67</v>
      </c>
      <c r="D88" s="52">
        <v>3194.67</v>
      </c>
    </row>
    <row r="89" spans="1:4" ht="19.5" customHeight="1">
      <c r="A89" s="46" t="s">
        <v>58</v>
      </c>
      <c r="B89" s="66"/>
      <c r="C89" s="52">
        <f>C86+C88+C87</f>
        <v>141831.67</v>
      </c>
      <c r="D89" s="52">
        <f>D86+D88+D87</f>
        <v>141831.67</v>
      </c>
    </row>
    <row r="90" spans="1:4" ht="20.25" customHeight="1">
      <c r="A90" s="46" t="s">
        <v>373</v>
      </c>
      <c r="B90" s="66" t="s">
        <v>184</v>
      </c>
      <c r="C90" s="52">
        <v>7105</v>
      </c>
      <c r="D90" s="52">
        <v>7105</v>
      </c>
    </row>
    <row r="91" spans="1:4" ht="20.25" customHeight="1">
      <c r="A91" s="46" t="s">
        <v>373</v>
      </c>
      <c r="B91" s="66" t="s">
        <v>60</v>
      </c>
      <c r="C91" s="52">
        <v>5464.89</v>
      </c>
      <c r="D91" s="52">
        <v>5464.89</v>
      </c>
    </row>
    <row r="92" spans="1:4" ht="20.25" customHeight="1">
      <c r="A92" s="46" t="s">
        <v>373</v>
      </c>
      <c r="B92" s="66" t="s">
        <v>417</v>
      </c>
      <c r="C92" s="52">
        <v>227142</v>
      </c>
      <c r="D92" s="52">
        <v>227142</v>
      </c>
    </row>
    <row r="93" spans="1:4" ht="20.25" customHeight="1">
      <c r="A93" s="46" t="s">
        <v>58</v>
      </c>
      <c r="B93" s="66"/>
      <c r="C93" s="52">
        <f>C90+C92+C91</f>
        <v>239711.89</v>
      </c>
      <c r="D93" s="52">
        <f>D90+D92+D91</f>
        <v>239711.89</v>
      </c>
    </row>
    <row r="94" spans="1:4" ht="18.75" customHeight="1">
      <c r="A94" s="46" t="s">
        <v>374</v>
      </c>
      <c r="B94" s="66" t="s">
        <v>185</v>
      </c>
      <c r="C94" s="52">
        <f>222422.6+145747</f>
        <v>368169.6</v>
      </c>
      <c r="D94" s="52">
        <f>222422.6+145747</f>
        <v>368169.6</v>
      </c>
    </row>
    <row r="95" spans="1:4" ht="18.75" customHeight="1">
      <c r="A95" s="46" t="s">
        <v>374</v>
      </c>
      <c r="B95" s="66" t="s">
        <v>184</v>
      </c>
      <c r="C95" s="52">
        <v>6632</v>
      </c>
      <c r="D95" s="52">
        <v>6632</v>
      </c>
    </row>
    <row r="96" spans="1:4" ht="19.5" customHeight="1">
      <c r="A96" s="46" t="s">
        <v>374</v>
      </c>
      <c r="B96" s="66" t="s">
        <v>102</v>
      </c>
      <c r="C96" s="52">
        <f>5345.73+3498.72</f>
        <v>8844.449999999999</v>
      </c>
      <c r="D96" s="52">
        <f>5345.73+3498.72</f>
        <v>8844.449999999999</v>
      </c>
    </row>
    <row r="97" spans="1:4" ht="19.5" customHeight="1">
      <c r="A97" s="46" t="s">
        <v>58</v>
      </c>
      <c r="B97" s="66"/>
      <c r="C97" s="52">
        <f>C94+C96+C95</f>
        <v>383646.05</v>
      </c>
      <c r="D97" s="52">
        <f>D94+D96+D95</f>
        <v>383646.05</v>
      </c>
    </row>
    <row r="98" spans="1:4" ht="18.75" customHeight="1">
      <c r="A98" s="46" t="s">
        <v>375</v>
      </c>
      <c r="B98" s="66"/>
      <c r="C98" s="52"/>
      <c r="D98" s="52"/>
    </row>
    <row r="99" spans="1:4" ht="17.25" customHeight="1">
      <c r="A99" s="82" t="s">
        <v>376</v>
      </c>
      <c r="B99" s="85"/>
      <c r="C99" s="109"/>
      <c r="D99" s="109"/>
    </row>
    <row r="100" spans="1:4" ht="17.25" customHeight="1">
      <c r="A100" s="200" t="s">
        <v>377</v>
      </c>
      <c r="B100" s="66" t="s">
        <v>102</v>
      </c>
      <c r="C100" s="52">
        <v>5537.94</v>
      </c>
      <c r="D100" s="52">
        <v>5537.94</v>
      </c>
    </row>
    <row r="101" spans="1:4" ht="17.25" customHeight="1">
      <c r="A101" s="200" t="s">
        <v>377</v>
      </c>
      <c r="B101" s="66" t="s">
        <v>146</v>
      </c>
      <c r="C101" s="52">
        <v>227023</v>
      </c>
      <c r="D101" s="52">
        <v>227023</v>
      </c>
    </row>
    <row r="102" spans="1:4" ht="21" customHeight="1">
      <c r="A102" s="200" t="s">
        <v>377</v>
      </c>
      <c r="B102" s="66" t="s">
        <v>184</v>
      </c>
      <c r="C102" s="52">
        <v>7105</v>
      </c>
      <c r="D102" s="52">
        <v>7105</v>
      </c>
    </row>
    <row r="103" spans="1:4" ht="19.5" customHeight="1">
      <c r="A103" s="46" t="s">
        <v>58</v>
      </c>
      <c r="B103" s="66"/>
      <c r="C103" s="52">
        <f>C102+C100+C101</f>
        <v>239665.94</v>
      </c>
      <c r="D103" s="52">
        <f>D102+D100+D101</f>
        <v>239665.94</v>
      </c>
    </row>
    <row r="104" spans="1:4" ht="19.5" customHeight="1">
      <c r="A104" s="46" t="s">
        <v>378</v>
      </c>
      <c r="B104" s="66" t="s">
        <v>184</v>
      </c>
      <c r="C104" s="52">
        <v>7105</v>
      </c>
      <c r="D104" s="52">
        <v>7105</v>
      </c>
    </row>
    <row r="105" spans="1:4" ht="16.5" customHeight="1">
      <c r="A105" s="46" t="s">
        <v>378</v>
      </c>
      <c r="B105" s="85" t="s">
        <v>102</v>
      </c>
      <c r="C105" s="68">
        <v>5515.38</v>
      </c>
      <c r="D105" s="68">
        <v>5515.38</v>
      </c>
    </row>
    <row r="106" spans="1:4" ht="19.5" customHeight="1">
      <c r="A106" s="117" t="s">
        <v>378</v>
      </c>
      <c r="B106" s="87" t="s">
        <v>418</v>
      </c>
      <c r="C106" s="53">
        <v>227048</v>
      </c>
      <c r="D106" s="53">
        <v>227048</v>
      </c>
    </row>
    <row r="107" spans="1:4" ht="16.5" customHeight="1">
      <c r="A107" s="46" t="s">
        <v>58</v>
      </c>
      <c r="B107" s="66"/>
      <c r="C107" s="52">
        <f>C104+C105+C106</f>
        <v>239668.38</v>
      </c>
      <c r="D107" s="52">
        <f>D104+D105+D106</f>
        <v>239668.38</v>
      </c>
    </row>
    <row r="108" spans="1:4" ht="15.75" customHeight="1">
      <c r="A108" s="46" t="s">
        <v>379</v>
      </c>
      <c r="B108" s="66" t="s">
        <v>184</v>
      </c>
      <c r="C108" s="52">
        <v>7105</v>
      </c>
      <c r="D108" s="52">
        <v>7105</v>
      </c>
    </row>
    <row r="109" spans="1:4" ht="15.75" customHeight="1">
      <c r="A109" s="46" t="s">
        <v>379</v>
      </c>
      <c r="B109" s="66" t="s">
        <v>60</v>
      </c>
      <c r="C109" s="52">
        <v>5531.22</v>
      </c>
      <c r="D109" s="52">
        <v>5531.22</v>
      </c>
    </row>
    <row r="110" spans="1:4" ht="15.75" customHeight="1">
      <c r="A110" s="46" t="s">
        <v>379</v>
      </c>
      <c r="B110" s="66" t="s">
        <v>419</v>
      </c>
      <c r="C110" s="52">
        <v>227033</v>
      </c>
      <c r="D110" s="52">
        <v>227033</v>
      </c>
    </row>
    <row r="111" spans="1:4" ht="15.75" customHeight="1">
      <c r="A111" s="46" t="s">
        <v>58</v>
      </c>
      <c r="B111" s="66"/>
      <c r="C111" s="52">
        <f>C108+C110+C109</f>
        <v>239669.22</v>
      </c>
      <c r="D111" s="52">
        <f>D108+D110+D109</f>
        <v>239669.22</v>
      </c>
    </row>
    <row r="112" spans="1:4" ht="17.25" customHeight="1">
      <c r="A112" s="46" t="s">
        <v>416</v>
      </c>
      <c r="B112" s="66" t="s">
        <v>184</v>
      </c>
      <c r="C112" s="52">
        <v>7105</v>
      </c>
      <c r="D112" s="52">
        <v>7105</v>
      </c>
    </row>
    <row r="113" spans="1:4" ht="17.25" customHeight="1">
      <c r="A113" s="46" t="s">
        <v>416</v>
      </c>
      <c r="B113" s="66" t="s">
        <v>419</v>
      </c>
      <c r="C113" s="52">
        <v>227071</v>
      </c>
      <c r="D113" s="52">
        <v>227071</v>
      </c>
    </row>
    <row r="114" spans="1:4" ht="17.25" customHeight="1">
      <c r="A114" s="46" t="s">
        <v>416</v>
      </c>
      <c r="B114" s="66" t="s">
        <v>60</v>
      </c>
      <c r="C114" s="52">
        <v>5531.22</v>
      </c>
      <c r="D114" s="52">
        <v>5531.22</v>
      </c>
    </row>
    <row r="115" spans="1:4" ht="17.25" customHeight="1">
      <c r="A115" s="46" t="s">
        <v>58</v>
      </c>
      <c r="B115" s="66"/>
      <c r="C115" s="52">
        <f>C112+C114+C113</f>
        <v>239707.22</v>
      </c>
      <c r="D115" s="52">
        <f>D112+D114+D113</f>
        <v>239707.22</v>
      </c>
    </row>
    <row r="116" spans="1:4" ht="27" customHeight="1">
      <c r="A116" s="82" t="s">
        <v>128</v>
      </c>
      <c r="B116" s="85"/>
      <c r="C116" s="68">
        <f>C119+C122+C127+C130+C133</f>
        <v>867377.94</v>
      </c>
      <c r="D116" s="68">
        <f>D119+D122+D127+D130+D133</f>
        <v>867377.94</v>
      </c>
    </row>
    <row r="117" spans="1:4" ht="15.75" customHeight="1">
      <c r="A117" s="200" t="s">
        <v>261</v>
      </c>
      <c r="B117" s="66" t="s">
        <v>94</v>
      </c>
      <c r="C117" s="52">
        <v>77130</v>
      </c>
      <c r="D117" s="48">
        <v>77130</v>
      </c>
    </row>
    <row r="118" spans="1:4" ht="18.75" customHeight="1">
      <c r="A118" s="200" t="s">
        <v>261</v>
      </c>
      <c r="B118" s="66" t="s">
        <v>60</v>
      </c>
      <c r="C118" s="47">
        <v>1802.46</v>
      </c>
      <c r="D118" s="45">
        <v>1802.46</v>
      </c>
    </row>
    <row r="119" spans="1:4" ht="17.25" customHeight="1">
      <c r="A119" s="46" t="s">
        <v>58</v>
      </c>
      <c r="B119" s="66"/>
      <c r="C119" s="52">
        <f>C117+C118</f>
        <v>78932.46</v>
      </c>
      <c r="D119" s="52">
        <f>D117+D118</f>
        <v>78932.46</v>
      </c>
    </row>
    <row r="120" spans="1:4" ht="13.5" customHeight="1">
      <c r="A120" s="46" t="s">
        <v>262</v>
      </c>
      <c r="B120" s="66" t="s">
        <v>94</v>
      </c>
      <c r="C120" s="52">
        <f>77779.2+38833.2</f>
        <v>116612.4</v>
      </c>
      <c r="D120" s="48">
        <f>77779.2+38833.2</f>
        <v>116612.4</v>
      </c>
    </row>
    <row r="121" spans="1:4" ht="18.75" customHeight="1">
      <c r="A121" s="46" t="s">
        <v>262</v>
      </c>
      <c r="B121" s="66" t="s">
        <v>60</v>
      </c>
      <c r="C121" s="52">
        <f>1779.96+934.74</f>
        <v>2714.7</v>
      </c>
      <c r="D121" s="48">
        <f>1779.96+934.74</f>
        <v>2714.7</v>
      </c>
    </row>
    <row r="122" spans="1:4" ht="17.25" customHeight="1">
      <c r="A122" s="46" t="s">
        <v>58</v>
      </c>
      <c r="B122" s="66"/>
      <c r="C122" s="52">
        <f>C120+C121</f>
        <v>119327.09999999999</v>
      </c>
      <c r="D122" s="52">
        <f>D120+D121</f>
        <v>119327.09999999999</v>
      </c>
    </row>
    <row r="123" spans="1:4" ht="18" customHeight="1">
      <c r="A123" s="230" t="s">
        <v>263</v>
      </c>
      <c r="B123" s="85" t="s">
        <v>60</v>
      </c>
      <c r="C123" s="67">
        <v>3556.44</v>
      </c>
      <c r="D123" s="83">
        <v>3556.44</v>
      </c>
    </row>
    <row r="124" spans="1:4" ht="18" customHeight="1">
      <c r="A124" s="227" t="s">
        <v>263</v>
      </c>
      <c r="B124" s="66" t="s">
        <v>184</v>
      </c>
      <c r="C124" s="47">
        <v>7105</v>
      </c>
      <c r="D124" s="45">
        <v>7105</v>
      </c>
    </row>
    <row r="125" spans="1:4" ht="26.25" customHeight="1">
      <c r="A125" s="227" t="s">
        <v>263</v>
      </c>
      <c r="B125" s="87" t="s">
        <v>415</v>
      </c>
      <c r="C125" s="148">
        <v>69776.91</v>
      </c>
      <c r="D125" s="89">
        <v>69776.91</v>
      </c>
    </row>
    <row r="126" spans="1:4" ht="15" customHeight="1">
      <c r="A126" s="231" t="s">
        <v>263</v>
      </c>
      <c r="B126" s="70" t="s">
        <v>94</v>
      </c>
      <c r="C126" s="123">
        <v>155433.6</v>
      </c>
      <c r="D126" s="49">
        <v>155433.6</v>
      </c>
    </row>
    <row r="127" spans="1:4" ht="18" customHeight="1">
      <c r="A127" s="228" t="s">
        <v>58</v>
      </c>
      <c r="B127" s="66"/>
      <c r="C127" s="47">
        <f>C123+C126+C125+C124</f>
        <v>235871.95</v>
      </c>
      <c r="D127" s="47">
        <f>D123+D126+D125+D124</f>
        <v>235871.95</v>
      </c>
    </row>
    <row r="128" spans="1:4" ht="21" customHeight="1">
      <c r="A128" s="227" t="s">
        <v>380</v>
      </c>
      <c r="B128" s="66" t="s">
        <v>60</v>
      </c>
      <c r="C128" s="47">
        <v>5642.58</v>
      </c>
      <c r="D128" s="47">
        <v>5642.58</v>
      </c>
    </row>
    <row r="129" spans="1:4" ht="21" customHeight="1">
      <c r="A129" s="227" t="s">
        <v>380</v>
      </c>
      <c r="B129" s="66" t="s">
        <v>94</v>
      </c>
      <c r="C129" s="52">
        <v>232798.8</v>
      </c>
      <c r="D129" s="52">
        <v>232798.8</v>
      </c>
    </row>
    <row r="130" spans="1:4" ht="21" customHeight="1">
      <c r="A130" s="46" t="s">
        <v>58</v>
      </c>
      <c r="B130" s="66"/>
      <c r="C130" s="52">
        <f>C128+C129</f>
        <v>238441.37999999998</v>
      </c>
      <c r="D130" s="52">
        <f>D128+D129</f>
        <v>238441.37999999998</v>
      </c>
    </row>
    <row r="131" spans="1:4" ht="17.25" customHeight="1">
      <c r="A131" s="150" t="s">
        <v>381</v>
      </c>
      <c r="B131" s="66" t="s">
        <v>415</v>
      </c>
      <c r="C131" s="148">
        <v>190542.05</v>
      </c>
      <c r="D131" s="148">
        <v>190542.05</v>
      </c>
    </row>
    <row r="132" spans="1:4" ht="18.75" customHeight="1">
      <c r="A132" s="228" t="s">
        <v>381</v>
      </c>
      <c r="B132" s="87" t="s">
        <v>184</v>
      </c>
      <c r="C132" s="64">
        <v>4263</v>
      </c>
      <c r="D132" s="64">
        <v>4263</v>
      </c>
    </row>
    <row r="133" spans="1:4" ht="13.5" customHeight="1">
      <c r="A133" s="228" t="s">
        <v>58</v>
      </c>
      <c r="B133" s="66"/>
      <c r="C133" s="52">
        <f>C131+C132</f>
        <v>194805.05</v>
      </c>
      <c r="D133" s="52">
        <f>D131+D132</f>
        <v>194805.05</v>
      </c>
    </row>
    <row r="134" spans="1:4" ht="19.5" customHeight="1">
      <c r="A134" s="82" t="s">
        <v>23</v>
      </c>
      <c r="B134" s="85"/>
      <c r="C134" s="99">
        <f>C138+C143+C147+C151+C155+C158+C162</f>
        <v>1308200.51</v>
      </c>
      <c r="D134" s="99">
        <f>D138+D143+D147+D151+D155+D158+D162</f>
        <v>1308200.51</v>
      </c>
    </row>
    <row r="135" spans="1:4" ht="18" customHeight="1">
      <c r="A135" s="232" t="s">
        <v>38</v>
      </c>
      <c r="B135" s="54" t="s">
        <v>114</v>
      </c>
      <c r="C135" s="52">
        <v>6395</v>
      </c>
      <c r="D135" s="51">
        <v>6395</v>
      </c>
    </row>
    <row r="136" spans="1:4" ht="12" customHeight="1">
      <c r="A136" s="210" t="s">
        <v>38</v>
      </c>
      <c r="B136" s="54" t="s">
        <v>141</v>
      </c>
      <c r="C136" s="52">
        <f>72536+149454</f>
        <v>221990</v>
      </c>
      <c r="D136" s="51">
        <f>72536+149454</f>
        <v>221990</v>
      </c>
    </row>
    <row r="137" spans="1:4" ht="16.5" customHeight="1">
      <c r="A137" s="210" t="s">
        <v>38</v>
      </c>
      <c r="B137" s="54" t="s">
        <v>60</v>
      </c>
      <c r="C137" s="52">
        <f>1911.09+4071.15</f>
        <v>5982.24</v>
      </c>
      <c r="D137" s="51">
        <f>1911.09+4071.15</f>
        <v>5982.24</v>
      </c>
    </row>
    <row r="138" spans="1:4" ht="18" customHeight="1">
      <c r="A138" s="121" t="s">
        <v>58</v>
      </c>
      <c r="B138" s="54"/>
      <c r="C138" s="151">
        <f>C135+C136+C137</f>
        <v>234367.24</v>
      </c>
      <c r="D138" s="151">
        <f>D135+D136+D137</f>
        <v>234367.24</v>
      </c>
    </row>
    <row r="139" spans="1:4" ht="18" customHeight="1">
      <c r="A139" s="121" t="s">
        <v>437</v>
      </c>
      <c r="B139" s="54"/>
      <c r="C139" s="151"/>
      <c r="D139" s="151"/>
    </row>
    <row r="140" spans="1:4" ht="12.75">
      <c r="A140" s="230" t="s">
        <v>142</v>
      </c>
      <c r="B140" s="67" t="s">
        <v>143</v>
      </c>
      <c r="C140" s="68">
        <f>131867+93861</f>
        <v>225728</v>
      </c>
      <c r="D140" s="69">
        <f>131867+93861</f>
        <v>225728</v>
      </c>
    </row>
    <row r="141" spans="1:4" ht="17.25" customHeight="1">
      <c r="A141" s="227" t="s">
        <v>142</v>
      </c>
      <c r="B141" s="47" t="s">
        <v>60</v>
      </c>
      <c r="C141" s="52">
        <f>3546.99+2675.04</f>
        <v>6222.03</v>
      </c>
      <c r="D141" s="51">
        <f>3546.99+2675.04</f>
        <v>6222.03</v>
      </c>
    </row>
    <row r="142" spans="1:4" ht="17.25" customHeight="1">
      <c r="A142" s="227" t="s">
        <v>142</v>
      </c>
      <c r="B142" s="47" t="s">
        <v>184</v>
      </c>
      <c r="C142" s="52">
        <v>6211</v>
      </c>
      <c r="D142" s="51">
        <v>6211</v>
      </c>
    </row>
    <row r="143" spans="1:4" ht="18" customHeight="1">
      <c r="A143" s="228" t="s">
        <v>58</v>
      </c>
      <c r="B143" s="47"/>
      <c r="C143" s="52">
        <f>C140+C141+C142</f>
        <v>238161.03</v>
      </c>
      <c r="D143" s="52">
        <f>D140+D141+D142</f>
        <v>238161.03</v>
      </c>
    </row>
    <row r="144" spans="1:4" ht="16.5" customHeight="1">
      <c r="A144" s="228" t="s">
        <v>129</v>
      </c>
      <c r="B144" s="47" t="s">
        <v>184</v>
      </c>
      <c r="C144" s="151">
        <v>7105</v>
      </c>
      <c r="D144" s="48">
        <v>7105</v>
      </c>
    </row>
    <row r="145" spans="1:4" ht="16.5" customHeight="1">
      <c r="A145" s="228" t="s">
        <v>129</v>
      </c>
      <c r="B145" s="47" t="s">
        <v>60</v>
      </c>
      <c r="C145" s="151">
        <v>2943.06</v>
      </c>
      <c r="D145" s="48">
        <v>2943.06</v>
      </c>
    </row>
    <row r="146" spans="1:4" ht="16.5" customHeight="1">
      <c r="A146" s="228" t="s">
        <v>129</v>
      </c>
      <c r="B146" s="47" t="s">
        <v>414</v>
      </c>
      <c r="C146" s="151">
        <v>119797</v>
      </c>
      <c r="D146" s="48">
        <v>119797</v>
      </c>
    </row>
    <row r="147" spans="1:4" ht="16.5" customHeight="1">
      <c r="A147" s="228" t="s">
        <v>58</v>
      </c>
      <c r="B147" s="47"/>
      <c r="C147" s="151">
        <f>C144+C146+C145</f>
        <v>129845.06</v>
      </c>
      <c r="D147" s="151">
        <f>D144+D146+D145</f>
        <v>129845.06</v>
      </c>
    </row>
    <row r="148" spans="1:4" ht="24.75" customHeight="1">
      <c r="A148" s="227" t="s">
        <v>232</v>
      </c>
      <c r="B148" s="47" t="s">
        <v>143</v>
      </c>
      <c r="C148" s="52">
        <f>141254+85273</f>
        <v>226527</v>
      </c>
      <c r="D148" s="51">
        <f>141254+85273</f>
        <v>226527</v>
      </c>
    </row>
    <row r="149" spans="1:4" ht="18" customHeight="1">
      <c r="A149" s="227" t="s">
        <v>232</v>
      </c>
      <c r="B149" s="47" t="s">
        <v>184</v>
      </c>
      <c r="C149" s="52">
        <v>7105</v>
      </c>
      <c r="D149" s="51">
        <v>7105</v>
      </c>
    </row>
    <row r="150" spans="1:4" ht="16.5" customHeight="1">
      <c r="A150" s="227" t="s">
        <v>232</v>
      </c>
      <c r="B150" s="47" t="s">
        <v>60</v>
      </c>
      <c r="C150" s="52">
        <v>3855.39</v>
      </c>
      <c r="D150" s="51">
        <v>3855.39</v>
      </c>
    </row>
    <row r="151" spans="1:4" ht="18.75" customHeight="1">
      <c r="A151" s="228" t="s">
        <v>58</v>
      </c>
      <c r="B151" s="47"/>
      <c r="C151" s="52">
        <f>C148+C150+C149</f>
        <v>237487.39</v>
      </c>
      <c r="D151" s="52">
        <f>D148+D150+D149</f>
        <v>237487.39</v>
      </c>
    </row>
    <row r="152" spans="1:4" ht="22.5" customHeight="1">
      <c r="A152" s="230" t="s">
        <v>233</v>
      </c>
      <c r="B152" s="67" t="s">
        <v>143</v>
      </c>
      <c r="C152" s="99">
        <v>91941</v>
      </c>
      <c r="D152" s="86">
        <v>91941</v>
      </c>
    </row>
    <row r="153" spans="1:4" ht="15.75" customHeight="1">
      <c r="A153" s="227" t="s">
        <v>233</v>
      </c>
      <c r="B153" s="47" t="s">
        <v>60</v>
      </c>
      <c r="C153" s="151">
        <v>2375</v>
      </c>
      <c r="D153" s="48">
        <v>2375</v>
      </c>
    </row>
    <row r="154" spans="1:4" ht="18.75" customHeight="1">
      <c r="A154" s="227" t="s">
        <v>233</v>
      </c>
      <c r="B154" s="47" t="s">
        <v>184</v>
      </c>
      <c r="C154" s="52">
        <v>5684</v>
      </c>
      <c r="D154" s="51">
        <v>5684</v>
      </c>
    </row>
    <row r="155" spans="1:4" ht="18.75" customHeight="1">
      <c r="A155" s="121" t="s">
        <v>58</v>
      </c>
      <c r="B155" s="47"/>
      <c r="C155" s="52">
        <f>C152+C153+C154</f>
        <v>100000</v>
      </c>
      <c r="D155" s="52">
        <f>D152+D153+D154</f>
        <v>100000</v>
      </c>
    </row>
    <row r="156" spans="1:4" ht="18.75" customHeight="1">
      <c r="A156" s="210" t="s">
        <v>382</v>
      </c>
      <c r="B156" s="126" t="s">
        <v>420</v>
      </c>
      <c r="C156" s="52">
        <v>225492.8</v>
      </c>
      <c r="D156" s="52">
        <v>225492.8</v>
      </c>
    </row>
    <row r="157" spans="1:4" ht="18.75" customHeight="1">
      <c r="A157" s="210" t="s">
        <v>382</v>
      </c>
      <c r="B157" s="47" t="s">
        <v>184</v>
      </c>
      <c r="C157" s="52">
        <v>7105</v>
      </c>
      <c r="D157" s="52">
        <v>7105</v>
      </c>
    </row>
    <row r="158" spans="1:4" ht="18.75" customHeight="1">
      <c r="A158" s="228" t="s">
        <v>58</v>
      </c>
      <c r="B158" s="47"/>
      <c r="C158" s="52">
        <f>C157+C156</f>
        <v>232597.8</v>
      </c>
      <c r="D158" s="52">
        <f>D157+D156</f>
        <v>232597.8</v>
      </c>
    </row>
    <row r="159" spans="1:4" ht="18.75" customHeight="1">
      <c r="A159" s="210" t="s">
        <v>383</v>
      </c>
      <c r="B159" s="47" t="s">
        <v>184</v>
      </c>
      <c r="C159" s="52">
        <v>7105</v>
      </c>
      <c r="D159" s="52">
        <v>7105</v>
      </c>
    </row>
    <row r="160" spans="1:4" ht="18.75" customHeight="1">
      <c r="A160" s="210" t="s">
        <v>383</v>
      </c>
      <c r="B160" s="47" t="s">
        <v>60</v>
      </c>
      <c r="C160" s="52">
        <v>3363.99</v>
      </c>
      <c r="D160" s="52">
        <v>3363.99</v>
      </c>
    </row>
    <row r="161" spans="1:4" ht="25.5" customHeight="1">
      <c r="A161" s="210" t="s">
        <v>383</v>
      </c>
      <c r="B161" s="47" t="s">
        <v>143</v>
      </c>
      <c r="C161" s="52">
        <v>125273</v>
      </c>
      <c r="D161" s="52">
        <v>125273</v>
      </c>
    </row>
    <row r="162" spans="1:4" ht="18.75" customHeight="1">
      <c r="A162" s="121" t="s">
        <v>58</v>
      </c>
      <c r="B162" s="47"/>
      <c r="C162" s="52">
        <f>C159+C160+C161</f>
        <v>135741.99</v>
      </c>
      <c r="D162" s="52">
        <f>D159+D160+D161</f>
        <v>135741.99</v>
      </c>
    </row>
    <row r="163" spans="1:4" ht="32.25" customHeight="1">
      <c r="A163" s="121" t="s">
        <v>287</v>
      </c>
      <c r="B163" s="47"/>
      <c r="C163" s="52">
        <f>C167</f>
        <v>44741.86</v>
      </c>
      <c r="D163" s="52">
        <f>D167</f>
        <v>44741.86</v>
      </c>
    </row>
    <row r="164" spans="1:4" ht="24" customHeight="1">
      <c r="A164" s="210" t="s">
        <v>264</v>
      </c>
      <c r="B164" s="47" t="s">
        <v>188</v>
      </c>
      <c r="C164" s="52">
        <v>39385</v>
      </c>
      <c r="D164" s="52">
        <v>39385</v>
      </c>
    </row>
    <row r="165" spans="1:4" ht="20.25" customHeight="1">
      <c r="A165" s="210" t="s">
        <v>264</v>
      </c>
      <c r="B165" s="47" t="s">
        <v>184</v>
      </c>
      <c r="C165" s="52">
        <v>4263</v>
      </c>
      <c r="D165" s="52">
        <v>4263</v>
      </c>
    </row>
    <row r="166" spans="1:4" ht="17.25" customHeight="1">
      <c r="A166" s="210" t="s">
        <v>264</v>
      </c>
      <c r="B166" s="47" t="s">
        <v>60</v>
      </c>
      <c r="C166" s="52">
        <v>1093.86</v>
      </c>
      <c r="D166" s="52">
        <v>1093.86</v>
      </c>
    </row>
    <row r="167" spans="1:4" ht="20.25" customHeight="1">
      <c r="A167" s="121" t="s">
        <v>58</v>
      </c>
      <c r="B167" s="47"/>
      <c r="C167" s="52">
        <f>C164+C166+C165</f>
        <v>44741.86</v>
      </c>
      <c r="D167" s="52">
        <f>D164+D166+D165</f>
        <v>44741.86</v>
      </c>
    </row>
    <row r="168" spans="1:4" ht="25.5" customHeight="1">
      <c r="A168" s="121" t="s">
        <v>384</v>
      </c>
      <c r="B168" s="47"/>
      <c r="C168" s="52">
        <f>C172+C175</f>
        <v>158126.87</v>
      </c>
      <c r="D168" s="52">
        <f>D172+D175</f>
        <v>158126.87</v>
      </c>
    </row>
    <row r="169" spans="1:4" ht="21" customHeight="1">
      <c r="A169" s="121" t="s">
        <v>385</v>
      </c>
      <c r="B169" s="47" t="s">
        <v>184</v>
      </c>
      <c r="C169" s="52">
        <v>5684</v>
      </c>
      <c r="D169" s="52">
        <v>5684</v>
      </c>
    </row>
    <row r="170" spans="1:4" ht="16.5" customHeight="1">
      <c r="A170" s="121" t="s">
        <v>385</v>
      </c>
      <c r="B170" s="47" t="s">
        <v>60</v>
      </c>
      <c r="C170" s="52">
        <v>1276.35</v>
      </c>
      <c r="D170" s="52">
        <v>1276.35</v>
      </c>
    </row>
    <row r="171" spans="1:4" ht="19.5" customHeight="1">
      <c r="A171" s="121" t="s">
        <v>385</v>
      </c>
      <c r="B171" s="47" t="s">
        <v>146</v>
      </c>
      <c r="C171" s="52">
        <v>52973</v>
      </c>
      <c r="D171" s="52">
        <v>52973</v>
      </c>
    </row>
    <row r="172" spans="1:4" ht="21" customHeight="1">
      <c r="A172" s="121" t="s">
        <v>58</v>
      </c>
      <c r="B172" s="47"/>
      <c r="C172" s="52">
        <f>C169+C171+C170</f>
        <v>59933.35</v>
      </c>
      <c r="D172" s="52">
        <f>D169+D171+D170</f>
        <v>59933.35</v>
      </c>
    </row>
    <row r="173" spans="1:4" ht="20.25" customHeight="1">
      <c r="A173" s="121" t="s">
        <v>386</v>
      </c>
      <c r="B173" s="47" t="s">
        <v>60</v>
      </c>
      <c r="C173" s="52">
        <v>2307.72</v>
      </c>
      <c r="D173" s="52">
        <v>2307.72</v>
      </c>
    </row>
    <row r="174" spans="1:4" ht="20.25" customHeight="1">
      <c r="A174" s="121" t="s">
        <v>386</v>
      </c>
      <c r="B174" s="47" t="s">
        <v>146</v>
      </c>
      <c r="C174" s="52">
        <v>95885.8</v>
      </c>
      <c r="D174" s="52">
        <v>95885.8</v>
      </c>
    </row>
    <row r="175" spans="1:4" ht="20.25" customHeight="1">
      <c r="A175" s="121" t="s">
        <v>58</v>
      </c>
      <c r="B175" s="233"/>
      <c r="C175" s="52">
        <f>C173+C174</f>
        <v>98193.52</v>
      </c>
      <c r="D175" s="52">
        <f>D173+D174</f>
        <v>98193.52</v>
      </c>
    </row>
    <row r="176" spans="1:4" ht="20.25" customHeight="1">
      <c r="A176" s="121" t="s">
        <v>387</v>
      </c>
      <c r="B176" s="47"/>
      <c r="C176" s="52">
        <f>C179</f>
        <v>233566.6</v>
      </c>
      <c r="D176" s="52">
        <f>D179</f>
        <v>233566.6</v>
      </c>
    </row>
    <row r="177" spans="1:4" ht="20.25" customHeight="1">
      <c r="A177" s="210" t="s">
        <v>388</v>
      </c>
      <c r="B177" s="328" t="s">
        <v>184</v>
      </c>
      <c r="C177" s="52">
        <v>7105</v>
      </c>
      <c r="D177" s="52">
        <v>7105</v>
      </c>
    </row>
    <row r="178" spans="1:4" ht="20.25" customHeight="1">
      <c r="A178" s="210" t="s">
        <v>388</v>
      </c>
      <c r="B178" s="329"/>
      <c r="C178" s="52">
        <v>226461.6</v>
      </c>
      <c r="D178" s="52">
        <v>226461.6</v>
      </c>
    </row>
    <row r="179" spans="1:4" ht="20.25" customHeight="1">
      <c r="A179" s="121" t="s">
        <v>58</v>
      </c>
      <c r="B179" s="47"/>
      <c r="C179" s="52">
        <f>C177+C178</f>
        <v>233566.6</v>
      </c>
      <c r="D179" s="52">
        <f>D177+D178</f>
        <v>233566.6</v>
      </c>
    </row>
    <row r="180" spans="1:4" ht="49.5" customHeight="1">
      <c r="A180" s="234" t="s">
        <v>299</v>
      </c>
      <c r="B180" s="235"/>
      <c r="C180" s="68">
        <f>C184+C188</f>
        <v>174796.63</v>
      </c>
      <c r="D180" s="68">
        <f>D184+D188</f>
        <v>174796.63</v>
      </c>
    </row>
    <row r="181" spans="1:4" ht="18" customHeight="1">
      <c r="A181" s="205" t="s">
        <v>370</v>
      </c>
      <c r="B181" s="66" t="s">
        <v>146</v>
      </c>
      <c r="C181" s="52">
        <v>101710.6</v>
      </c>
      <c r="D181" s="48">
        <v>101710.6</v>
      </c>
    </row>
    <row r="182" spans="1:4" ht="15" customHeight="1">
      <c r="A182" s="205" t="s">
        <v>370</v>
      </c>
      <c r="B182" s="66" t="s">
        <v>184</v>
      </c>
      <c r="C182" s="52">
        <v>5684</v>
      </c>
      <c r="D182" s="48">
        <v>5684</v>
      </c>
    </row>
    <row r="183" spans="1:4" ht="15" customHeight="1">
      <c r="A183" s="205" t="s">
        <v>370</v>
      </c>
      <c r="B183" s="47" t="s">
        <v>60</v>
      </c>
      <c r="C183" s="47">
        <v>2474.85</v>
      </c>
      <c r="D183" s="112">
        <v>2474.85</v>
      </c>
    </row>
    <row r="184" spans="1:4" ht="15.75" customHeight="1">
      <c r="A184" s="121" t="s">
        <v>58</v>
      </c>
      <c r="B184" s="236"/>
      <c r="C184" s="52">
        <f>C181+C183+C182</f>
        <v>109869.45000000001</v>
      </c>
      <c r="D184" s="52">
        <f>D181+D183+D182</f>
        <v>109869.45000000001</v>
      </c>
    </row>
    <row r="185" spans="1:4" ht="29.25" customHeight="1">
      <c r="A185" s="229" t="s">
        <v>389</v>
      </c>
      <c r="B185" s="87" t="s">
        <v>184</v>
      </c>
      <c r="C185" s="64">
        <v>5684</v>
      </c>
      <c r="D185" s="64">
        <v>5684</v>
      </c>
    </row>
    <row r="186" spans="1:4" ht="24.75" customHeight="1">
      <c r="A186" s="229" t="s">
        <v>389</v>
      </c>
      <c r="B186" s="66" t="s">
        <v>146</v>
      </c>
      <c r="C186" s="52">
        <v>57857</v>
      </c>
      <c r="D186" s="52">
        <v>57857</v>
      </c>
    </row>
    <row r="187" spans="1:4" ht="24" customHeight="1">
      <c r="A187" s="229" t="s">
        <v>389</v>
      </c>
      <c r="B187" s="47" t="s">
        <v>60</v>
      </c>
      <c r="C187" s="52">
        <v>1386.18</v>
      </c>
      <c r="D187" s="52">
        <v>1386.18</v>
      </c>
    </row>
    <row r="188" spans="1:4" ht="19.5" customHeight="1">
      <c r="A188" s="121" t="s">
        <v>58</v>
      </c>
      <c r="B188" s="66"/>
      <c r="C188" s="52">
        <f>C185+C187+C186</f>
        <v>64927.18</v>
      </c>
      <c r="D188" s="52">
        <f>D185+D187+D186</f>
        <v>64927.18</v>
      </c>
    </row>
    <row r="189" spans="1:4" ht="12.75">
      <c r="A189" s="237" t="s">
        <v>15</v>
      </c>
      <c r="B189" s="45"/>
      <c r="C189" s="45">
        <v>9664727.64</v>
      </c>
      <c r="D189" s="45">
        <v>9664727.64</v>
      </c>
    </row>
    <row r="190" ht="13.5" customHeight="1">
      <c r="A190" s="223" t="s">
        <v>451</v>
      </c>
    </row>
    <row r="191" ht="18" customHeight="1">
      <c r="A191" s="223" t="s">
        <v>452</v>
      </c>
    </row>
    <row r="192" ht="27" customHeight="1">
      <c r="A192" s="223" t="s">
        <v>53</v>
      </c>
    </row>
    <row r="193" spans="1:3" ht="15.75">
      <c r="A193" s="223"/>
      <c r="B193" s="59"/>
      <c r="C193" s="59"/>
    </row>
    <row r="194" spans="1:3" ht="15.75">
      <c r="A194" s="223"/>
      <c r="B194" s="59"/>
      <c r="C194" s="59"/>
    </row>
    <row r="195" spans="1:3" ht="15.75">
      <c r="A195" s="58"/>
      <c r="B195" s="59"/>
      <c r="C195" s="59"/>
    </row>
  </sheetData>
  <sheetProtection selectLockedCells="1" selectUnlockedCells="1"/>
  <mergeCells count="1">
    <mergeCell ref="B177:B178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D19"/>
  <sheetViews>
    <sheetView zoomScalePageLayoutView="0" workbookViewId="0" topLeftCell="A1">
      <selection activeCell="A11" sqref="A11:A16"/>
    </sheetView>
  </sheetViews>
  <sheetFormatPr defaultColWidth="9.140625" defaultRowHeight="12.75"/>
  <cols>
    <col min="1" max="1" width="60.00390625" style="0" customWidth="1"/>
    <col min="2" max="2" width="14.57421875" style="0" customWidth="1"/>
    <col min="3" max="3" width="15.8515625" style="0" customWidth="1"/>
    <col min="4" max="4" width="13.57421875" style="0" customWidth="1"/>
  </cols>
  <sheetData>
    <row r="1" spans="1:4" ht="32.25" customHeight="1">
      <c r="A1" s="112" t="s">
        <v>456</v>
      </c>
      <c r="B1" s="112"/>
      <c r="C1" s="112"/>
      <c r="D1" s="112"/>
    </row>
    <row r="2" spans="1:4" ht="36" customHeight="1">
      <c r="A2" s="66" t="s">
        <v>37</v>
      </c>
      <c r="B2" s="247" t="s">
        <v>3</v>
      </c>
      <c r="C2" s="66" t="s">
        <v>39</v>
      </c>
      <c r="D2" s="243" t="s">
        <v>40</v>
      </c>
    </row>
    <row r="3" spans="1:4" ht="36.75" customHeight="1">
      <c r="A3" s="121" t="s">
        <v>318</v>
      </c>
      <c r="B3" s="247"/>
      <c r="C3" s="52">
        <f>C4+C5</f>
        <v>1664102</v>
      </c>
      <c r="D3" s="52">
        <f>D4+D5</f>
        <v>1664102</v>
      </c>
    </row>
    <row r="4" spans="1:4" ht="38.25" customHeight="1">
      <c r="A4" s="228" t="s">
        <v>288</v>
      </c>
      <c r="B4" s="111" t="s">
        <v>298</v>
      </c>
      <c r="C4" s="151">
        <f>1265802+350000</f>
        <v>1615802</v>
      </c>
      <c r="D4" s="151">
        <f>1265802+350000</f>
        <v>1615802</v>
      </c>
    </row>
    <row r="5" spans="1:4" ht="28.5" customHeight="1">
      <c r="A5" s="228" t="s">
        <v>289</v>
      </c>
      <c r="B5" s="228" t="s">
        <v>289</v>
      </c>
      <c r="C5" s="151">
        <v>48300</v>
      </c>
      <c r="D5" s="48">
        <v>48300</v>
      </c>
    </row>
    <row r="6" spans="1:4" ht="36" customHeight="1">
      <c r="A6" s="228" t="s">
        <v>319</v>
      </c>
      <c r="B6" s="111" t="s">
        <v>290</v>
      </c>
      <c r="C6" s="52">
        <v>100000</v>
      </c>
      <c r="D6" s="52">
        <v>100000</v>
      </c>
    </row>
    <row r="7" spans="1:4" ht="20.25" customHeight="1">
      <c r="A7" s="205" t="s">
        <v>5</v>
      </c>
      <c r="B7" s="244"/>
      <c r="C7" s="54">
        <v>100000</v>
      </c>
      <c r="D7" s="206">
        <v>100000</v>
      </c>
    </row>
    <row r="8" spans="1:4" ht="15" customHeight="1">
      <c r="A8" s="205" t="s">
        <v>5</v>
      </c>
      <c r="B8" s="244"/>
      <c r="C8" s="54">
        <f>C3</f>
        <v>1664102</v>
      </c>
      <c r="D8" s="54">
        <f>D3</f>
        <v>1664102</v>
      </c>
    </row>
    <row r="9" spans="1:4" ht="14.25" customHeight="1">
      <c r="A9" s="248" t="s">
        <v>16</v>
      </c>
      <c r="B9" s="249"/>
      <c r="C9" s="48">
        <f>C7+C8</f>
        <v>1764102</v>
      </c>
      <c r="D9" s="48">
        <f>D7+D8</f>
        <v>1764102</v>
      </c>
    </row>
    <row r="10" spans="1:4" ht="0.75" customHeight="1">
      <c r="A10" s="19"/>
      <c r="B10" s="107"/>
      <c r="C10" s="3"/>
      <c r="D10" s="3"/>
    </row>
    <row r="11" spans="1:4" ht="12.75">
      <c r="A11" s="100" t="s">
        <v>451</v>
      </c>
      <c r="B11" s="4"/>
      <c r="C11" s="4"/>
      <c r="D11" s="4"/>
    </row>
    <row r="12" spans="1:4" ht="12.75">
      <c r="A12" s="100" t="s">
        <v>452</v>
      </c>
      <c r="B12" s="16"/>
      <c r="C12" s="16"/>
      <c r="D12" s="4"/>
    </row>
    <row r="13" spans="1:4" ht="12.75">
      <c r="A13" s="100" t="s">
        <v>53</v>
      </c>
      <c r="B13" s="16"/>
      <c r="C13" s="16"/>
      <c r="D13" s="4"/>
    </row>
    <row r="14" spans="1:4" ht="12.75">
      <c r="A14" s="100"/>
      <c r="B14" s="16"/>
      <c r="C14" s="16"/>
      <c r="D14" s="4"/>
    </row>
    <row r="15" spans="1:4" ht="12.75" hidden="1">
      <c r="A15" s="100"/>
      <c r="B15" s="3"/>
      <c r="C15" s="3"/>
      <c r="D15" s="4"/>
    </row>
    <row r="16" spans="1:4" ht="12.75">
      <c r="A16" s="19"/>
      <c r="B16" s="3"/>
      <c r="C16" s="3"/>
      <c r="D16" s="4"/>
    </row>
    <row r="17" spans="1:3" ht="12.75">
      <c r="A17" s="19"/>
      <c r="B17" s="3"/>
      <c r="C17" s="3"/>
    </row>
    <row r="18" spans="1:3" ht="12.75">
      <c r="A18" s="19"/>
      <c r="B18" s="3"/>
      <c r="C18" s="3"/>
    </row>
    <row r="19" spans="1:3" ht="12.75">
      <c r="A19" s="19"/>
      <c r="B19" s="3"/>
      <c r="C19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3">
    <tabColor rgb="FFC00000"/>
    <pageSetUpPr fitToPage="1"/>
  </sheetPr>
  <dimension ref="A1:D11"/>
  <sheetViews>
    <sheetView zoomScale="110" zoomScaleNormal="110" zoomScaleSheetLayoutView="110" zoomScalePageLayoutView="0" workbookViewId="0" topLeftCell="A1">
      <selection activeCell="A6" sqref="A6:B10"/>
    </sheetView>
  </sheetViews>
  <sheetFormatPr defaultColWidth="9.140625" defaultRowHeight="12.75"/>
  <cols>
    <col min="1" max="1" width="45.00390625" style="1" customWidth="1"/>
    <col min="2" max="2" width="12.28125" style="5" customWidth="1"/>
    <col min="3" max="3" width="14.8515625" style="2" customWidth="1"/>
    <col min="4" max="4" width="28.140625" style="3" customWidth="1"/>
  </cols>
  <sheetData>
    <row r="1" spans="1:4" s="4" customFormat="1" ht="12.75">
      <c r="A1" s="245" t="s">
        <v>457</v>
      </c>
      <c r="B1" s="112"/>
      <c r="C1" s="112"/>
      <c r="D1" s="112"/>
    </row>
    <row r="2" spans="1:4" s="7" customFormat="1" ht="52.5" customHeight="1">
      <c r="A2" s="260" t="s">
        <v>2</v>
      </c>
      <c r="B2" s="261" t="s">
        <v>35</v>
      </c>
      <c r="C2" s="261" t="s">
        <v>4</v>
      </c>
      <c r="D2" s="262" t="s">
        <v>1</v>
      </c>
    </row>
    <row r="3" spans="1:4" s="7" customFormat="1" ht="26.25" customHeight="1">
      <c r="A3" s="55" t="s">
        <v>318</v>
      </c>
      <c r="B3" s="57">
        <f>B4</f>
        <v>9327000</v>
      </c>
      <c r="C3" s="62">
        <f>C4</f>
        <v>9327000</v>
      </c>
      <c r="D3" s="62">
        <f>D4</f>
        <v>9327000</v>
      </c>
    </row>
    <row r="4" spans="1:4" s="23" customFormat="1" ht="24" customHeight="1">
      <c r="A4" s="33" t="s">
        <v>32</v>
      </c>
      <c r="B4" s="57">
        <v>9327000</v>
      </c>
      <c r="C4" s="60">
        <f>5000000+1700000+2100000+527000</f>
        <v>9327000</v>
      </c>
      <c r="D4" s="265">
        <f>5000000+1700000+2100000+527000</f>
        <v>9327000</v>
      </c>
    </row>
    <row r="5" spans="1:4" s="7" customFormat="1" ht="15" customHeight="1">
      <c r="A5" s="173" t="s">
        <v>103</v>
      </c>
      <c r="B5" s="263">
        <f>B4</f>
        <v>9327000</v>
      </c>
      <c r="C5" s="81">
        <f>C4</f>
        <v>9327000</v>
      </c>
      <c r="D5" s="81">
        <f>D4</f>
        <v>9327000</v>
      </c>
    </row>
    <row r="6" spans="1:3" ht="12.75">
      <c r="A6" s="223" t="s">
        <v>451</v>
      </c>
      <c r="B6" s="264"/>
      <c r="C6" s="259"/>
    </row>
    <row r="7" spans="1:3" ht="13.5" customHeight="1">
      <c r="A7" s="223" t="s">
        <v>452</v>
      </c>
      <c r="B7" s="264"/>
      <c r="C7" s="259"/>
    </row>
    <row r="8" spans="1:3" ht="16.5" customHeight="1">
      <c r="A8" s="223" t="s">
        <v>53</v>
      </c>
      <c r="B8" s="264"/>
      <c r="C8" s="259"/>
    </row>
    <row r="9" spans="1:3" ht="12.75">
      <c r="A9" s="223"/>
      <c r="B9" s="264"/>
      <c r="C9" s="259"/>
    </row>
    <row r="10" spans="1:3" ht="12.75">
      <c r="A10" s="223"/>
      <c r="B10" s="264"/>
      <c r="C10" s="259"/>
    </row>
    <row r="11" spans="1:3" ht="12.75">
      <c r="A11" s="102"/>
      <c r="B11" s="264"/>
      <c r="C11" s="259"/>
    </row>
  </sheetData>
  <sheetProtection selectLockedCells="1" selectUnlockedCells="1"/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">
    <tabColor rgb="FFC00000"/>
  </sheetPr>
  <dimension ref="A1:E75"/>
  <sheetViews>
    <sheetView zoomScale="110" zoomScaleNormal="110" zoomScaleSheetLayoutView="110" zoomScalePageLayoutView="0" workbookViewId="0" topLeftCell="A1">
      <selection activeCell="A83" sqref="A83"/>
    </sheetView>
  </sheetViews>
  <sheetFormatPr defaultColWidth="9.140625" defaultRowHeight="12.75"/>
  <cols>
    <col min="1" max="1" width="58.7109375" style="1" customWidth="1"/>
    <col min="2" max="2" width="23.7109375" style="2" customWidth="1"/>
    <col min="3" max="3" width="12.28125" style="5" customWidth="1"/>
    <col min="4" max="4" width="9.8515625" style="2" customWidth="1"/>
    <col min="5" max="5" width="12.8515625" style="3" customWidth="1"/>
  </cols>
  <sheetData>
    <row r="1" spans="1:5" s="4" customFormat="1" ht="12.75">
      <c r="A1" s="50" t="s">
        <v>485</v>
      </c>
      <c r="B1" s="324"/>
      <c r="C1" s="324"/>
      <c r="D1" s="324"/>
      <c r="E1" s="324"/>
    </row>
    <row r="2" spans="1:5" s="4" customFormat="1" ht="39.75" customHeight="1">
      <c r="A2" s="120" t="s">
        <v>37</v>
      </c>
      <c r="B2" s="120" t="s">
        <v>3</v>
      </c>
      <c r="C2" s="120" t="s">
        <v>35</v>
      </c>
      <c r="D2" s="120" t="s">
        <v>4</v>
      </c>
      <c r="E2" s="246" t="s">
        <v>1</v>
      </c>
    </row>
    <row r="3" spans="1:5" s="7" customFormat="1" ht="43.5" customHeight="1">
      <c r="A3" s="323" t="s">
        <v>28</v>
      </c>
      <c r="B3" s="317"/>
      <c r="C3" s="219">
        <f>C4</f>
        <v>2836400</v>
      </c>
      <c r="D3" s="56">
        <f>D4</f>
        <v>2832568.82</v>
      </c>
      <c r="E3" s="56">
        <f>E4</f>
        <v>2832568.82</v>
      </c>
    </row>
    <row r="4" spans="1:5" s="7" customFormat="1" ht="31.5" customHeight="1">
      <c r="A4" s="21" t="s">
        <v>29</v>
      </c>
      <c r="B4" s="22"/>
      <c r="C4" s="325">
        <v>2836400</v>
      </c>
      <c r="D4" s="119">
        <f>D5+D30+D42</f>
        <v>2832568.82</v>
      </c>
      <c r="E4" s="119">
        <f>E5+E30+E42</f>
        <v>2832568.82</v>
      </c>
    </row>
    <row r="5" spans="1:5" s="23" customFormat="1" ht="30.75" customHeight="1">
      <c r="A5" s="24" t="s">
        <v>54</v>
      </c>
      <c r="B5" s="22"/>
      <c r="C5" s="325">
        <v>2836400</v>
      </c>
      <c r="D5" s="34">
        <f>SUM(D6:D29)</f>
        <v>1362399.65</v>
      </c>
      <c r="E5" s="34">
        <f>SUM(E6:E29)</f>
        <v>1362399.65</v>
      </c>
    </row>
    <row r="6" spans="1:5" s="23" customFormat="1" ht="18" customHeight="1">
      <c r="A6" s="24" t="s">
        <v>55</v>
      </c>
      <c r="B6" s="22"/>
      <c r="C6" s="325">
        <v>2836400</v>
      </c>
      <c r="D6" s="34">
        <v>17067.4</v>
      </c>
      <c r="E6" s="34">
        <v>17067.4</v>
      </c>
    </row>
    <row r="7" spans="1:5" s="23" customFormat="1" ht="21.75" customHeight="1">
      <c r="A7" s="24" t="s">
        <v>56</v>
      </c>
      <c r="B7" s="22"/>
      <c r="C7" s="325">
        <v>2836400</v>
      </c>
      <c r="D7" s="34">
        <v>6591.37</v>
      </c>
      <c r="E7" s="34">
        <v>6591.37</v>
      </c>
    </row>
    <row r="8" spans="1:5" s="23" customFormat="1" ht="21.75" customHeight="1">
      <c r="A8" s="24" t="s">
        <v>57</v>
      </c>
      <c r="B8" s="22"/>
      <c r="C8" s="325">
        <v>2836400</v>
      </c>
      <c r="D8" s="34">
        <v>67770.4</v>
      </c>
      <c r="E8" s="34">
        <v>67770.4</v>
      </c>
    </row>
    <row r="9" spans="1:5" s="23" customFormat="1" ht="22.5" customHeight="1">
      <c r="A9" s="24" t="s">
        <v>324</v>
      </c>
      <c r="B9" s="22"/>
      <c r="C9" s="325">
        <v>2836400</v>
      </c>
      <c r="D9" s="119">
        <v>52000</v>
      </c>
      <c r="E9" s="119">
        <v>52000</v>
      </c>
    </row>
    <row r="10" spans="1:5" s="7" customFormat="1" ht="31.5" customHeight="1">
      <c r="A10" s="24" t="s">
        <v>325</v>
      </c>
      <c r="B10" s="22"/>
      <c r="C10" s="325">
        <v>2836400</v>
      </c>
      <c r="D10" s="119">
        <v>47840</v>
      </c>
      <c r="E10" s="119">
        <v>47840</v>
      </c>
    </row>
    <row r="11" spans="1:5" s="23" customFormat="1" ht="32.25" customHeight="1">
      <c r="A11" s="24" t="s">
        <v>326</v>
      </c>
      <c r="B11" s="22"/>
      <c r="C11" s="325">
        <v>2836400</v>
      </c>
      <c r="D11" s="119">
        <v>80089.2</v>
      </c>
      <c r="E11" s="119">
        <v>80089.2</v>
      </c>
    </row>
    <row r="12" spans="1:5" s="7" customFormat="1" ht="12.75">
      <c r="A12" s="24" t="s">
        <v>327</v>
      </c>
      <c r="B12" s="22"/>
      <c r="C12" s="325">
        <v>2836400</v>
      </c>
      <c r="D12" s="119">
        <v>66035.2</v>
      </c>
      <c r="E12" s="119">
        <v>66035.2</v>
      </c>
    </row>
    <row r="13" spans="1:5" s="7" customFormat="1" ht="12.75">
      <c r="A13" s="24" t="s">
        <v>328</v>
      </c>
      <c r="B13" s="22"/>
      <c r="C13" s="325">
        <v>2836400</v>
      </c>
      <c r="D13" s="119">
        <v>70800</v>
      </c>
      <c r="E13" s="119">
        <v>70800</v>
      </c>
    </row>
    <row r="14" spans="1:5" s="7" customFormat="1" ht="12.75">
      <c r="A14" s="24" t="s">
        <v>329</v>
      </c>
      <c r="B14" s="22"/>
      <c r="C14" s="325">
        <v>2836400</v>
      </c>
      <c r="D14" s="119">
        <v>95428.8</v>
      </c>
      <c r="E14" s="119">
        <v>95428.8</v>
      </c>
    </row>
    <row r="15" spans="1:5" s="7" customFormat="1" ht="48" customHeight="1">
      <c r="A15" s="24" t="s">
        <v>330</v>
      </c>
      <c r="B15" s="22"/>
      <c r="C15" s="325">
        <v>2836400</v>
      </c>
      <c r="D15" s="119">
        <v>30232</v>
      </c>
      <c r="E15" s="119">
        <v>30232</v>
      </c>
    </row>
    <row r="16" spans="1:5" s="7" customFormat="1" ht="12.75">
      <c r="A16" s="24" t="s">
        <v>331</v>
      </c>
      <c r="B16" s="22"/>
      <c r="C16" s="325">
        <v>2836400</v>
      </c>
      <c r="D16" s="119">
        <v>35811.2</v>
      </c>
      <c r="E16" s="119">
        <v>35811.2</v>
      </c>
    </row>
    <row r="17" spans="1:5" s="7" customFormat="1" ht="12.75">
      <c r="A17" s="24" t="s">
        <v>332</v>
      </c>
      <c r="B17" s="22"/>
      <c r="C17" s="325">
        <v>2836400</v>
      </c>
      <c r="D17" s="119">
        <v>95725.6</v>
      </c>
      <c r="E17" s="119">
        <v>95725.6</v>
      </c>
    </row>
    <row r="18" spans="1:5" s="7" customFormat="1" ht="12.75">
      <c r="A18" s="24" t="s">
        <v>333</v>
      </c>
      <c r="B18" s="22"/>
      <c r="C18" s="325">
        <v>2836400</v>
      </c>
      <c r="D18" s="119">
        <v>23877.6</v>
      </c>
      <c r="E18" s="119">
        <v>23877.6</v>
      </c>
    </row>
    <row r="19" spans="1:5" s="13" customFormat="1" ht="12.75">
      <c r="A19" s="24" t="s">
        <v>334</v>
      </c>
      <c r="B19" s="22"/>
      <c r="C19" s="325">
        <v>2836400</v>
      </c>
      <c r="D19" s="119">
        <v>40224</v>
      </c>
      <c r="E19" s="119">
        <v>40224</v>
      </c>
    </row>
    <row r="20" spans="1:5" ht="12.75">
      <c r="A20" s="24" t="s">
        <v>335</v>
      </c>
      <c r="B20" s="22"/>
      <c r="C20" s="325">
        <v>2836400</v>
      </c>
      <c r="D20" s="119">
        <v>102356</v>
      </c>
      <c r="E20" s="119">
        <v>102356</v>
      </c>
    </row>
    <row r="21" spans="1:5" ht="12.75">
      <c r="A21" s="24" t="s">
        <v>56</v>
      </c>
      <c r="B21" s="22"/>
      <c r="C21" s="325">
        <v>2836400</v>
      </c>
      <c r="D21" s="119">
        <v>19724.4</v>
      </c>
      <c r="E21" s="119">
        <v>19724.4</v>
      </c>
    </row>
    <row r="22" spans="1:5" ht="12.75">
      <c r="A22" s="24" t="s">
        <v>336</v>
      </c>
      <c r="B22" s="22"/>
      <c r="C22" s="325">
        <v>2836400</v>
      </c>
      <c r="D22" s="119">
        <v>45302.8</v>
      </c>
      <c r="E22" s="119">
        <v>45302.8</v>
      </c>
    </row>
    <row r="23" spans="1:5" ht="12.75">
      <c r="A23" s="24" t="s">
        <v>337</v>
      </c>
      <c r="B23" s="22"/>
      <c r="C23" s="325">
        <v>2836400</v>
      </c>
      <c r="D23" s="119">
        <v>43772</v>
      </c>
      <c r="E23" s="119">
        <v>43772</v>
      </c>
    </row>
    <row r="24" spans="1:5" ht="12.75">
      <c r="A24" s="24" t="s">
        <v>338</v>
      </c>
      <c r="B24" s="22"/>
      <c r="C24" s="325">
        <v>2836400</v>
      </c>
      <c r="D24" s="119">
        <v>119988.51</v>
      </c>
      <c r="E24" s="119">
        <v>119988.51</v>
      </c>
    </row>
    <row r="25" spans="1:5" ht="12.75">
      <c r="A25" s="24" t="s">
        <v>339</v>
      </c>
      <c r="B25" s="22"/>
      <c r="C25" s="325">
        <v>2836400</v>
      </c>
      <c r="D25" s="119">
        <v>69468.4</v>
      </c>
      <c r="E25" s="119">
        <v>69468.4</v>
      </c>
    </row>
    <row r="26" spans="1:5" ht="12.75">
      <c r="A26" s="24" t="s">
        <v>340</v>
      </c>
      <c r="B26" s="22"/>
      <c r="C26" s="325">
        <v>2836400</v>
      </c>
      <c r="D26" s="119">
        <v>83832</v>
      </c>
      <c r="E26" s="119">
        <v>83832</v>
      </c>
    </row>
    <row r="27" spans="1:5" ht="12.75">
      <c r="A27" s="24" t="s">
        <v>341</v>
      </c>
      <c r="B27" s="22"/>
      <c r="C27" s="325">
        <v>2836400</v>
      </c>
      <c r="D27" s="119">
        <v>38746.8</v>
      </c>
      <c r="E27" s="119">
        <v>38746.8</v>
      </c>
    </row>
    <row r="28" spans="1:5" ht="12.75">
      <c r="A28" s="319" t="s">
        <v>469</v>
      </c>
      <c r="B28" s="22"/>
      <c r="C28" s="325">
        <v>2836400</v>
      </c>
      <c r="D28" s="155">
        <v>42044</v>
      </c>
      <c r="E28" s="155">
        <v>42044</v>
      </c>
    </row>
    <row r="29" spans="1:5" ht="12.75">
      <c r="A29" s="319" t="s">
        <v>470</v>
      </c>
      <c r="B29" s="22"/>
      <c r="C29" s="325">
        <v>2836400</v>
      </c>
      <c r="D29" s="155">
        <v>67671.97</v>
      </c>
      <c r="E29" s="155">
        <v>67671.97</v>
      </c>
    </row>
    <row r="30" spans="1:5" ht="12.75">
      <c r="A30" s="24" t="s">
        <v>342</v>
      </c>
      <c r="B30" s="22"/>
      <c r="C30" s="325">
        <v>2836400</v>
      </c>
      <c r="D30" s="119">
        <f>SUM(D31:D41)</f>
        <v>761258.5299999999</v>
      </c>
      <c r="E30" s="119">
        <f>SUM(E31:E41)</f>
        <v>761258.5299999999</v>
      </c>
    </row>
    <row r="31" spans="1:5" ht="12.75">
      <c r="A31" s="24" t="s">
        <v>343</v>
      </c>
      <c r="B31" s="22"/>
      <c r="C31" s="325">
        <v>2836400</v>
      </c>
      <c r="D31" s="119">
        <v>84856</v>
      </c>
      <c r="E31" s="119">
        <v>84856</v>
      </c>
    </row>
    <row r="32" spans="1:5" ht="12.75">
      <c r="A32" s="24" t="s">
        <v>344</v>
      </c>
      <c r="B32" s="22"/>
      <c r="C32" s="325">
        <v>2836400</v>
      </c>
      <c r="D32" s="119">
        <v>71980.4</v>
      </c>
      <c r="E32" s="119">
        <v>71980.4</v>
      </c>
    </row>
    <row r="33" spans="1:5" ht="12.75">
      <c r="A33" s="24" t="s">
        <v>345</v>
      </c>
      <c r="B33" s="22"/>
      <c r="C33" s="325">
        <v>2836400</v>
      </c>
      <c r="D33" s="119">
        <v>30820.4</v>
      </c>
      <c r="E33" s="119">
        <v>30820.4</v>
      </c>
    </row>
    <row r="34" spans="1:5" ht="12.75">
      <c r="A34" s="24" t="s">
        <v>346</v>
      </c>
      <c r="B34" s="22"/>
      <c r="C34" s="325">
        <v>2836400</v>
      </c>
      <c r="D34" s="119">
        <v>70640</v>
      </c>
      <c r="E34" s="119">
        <v>70640</v>
      </c>
    </row>
    <row r="35" spans="1:5" ht="12.75">
      <c r="A35" s="24" t="s">
        <v>347</v>
      </c>
      <c r="B35" s="22"/>
      <c r="C35" s="325">
        <v>2836400</v>
      </c>
      <c r="D35" s="119">
        <v>44000</v>
      </c>
      <c r="E35" s="119">
        <v>44000</v>
      </c>
    </row>
    <row r="36" spans="1:5" ht="12.75">
      <c r="A36" s="24" t="s">
        <v>343</v>
      </c>
      <c r="B36" s="22"/>
      <c r="C36" s="325">
        <v>2836400</v>
      </c>
      <c r="D36" s="119">
        <v>56603.2</v>
      </c>
      <c r="E36" s="119">
        <v>56603.2</v>
      </c>
    </row>
    <row r="37" spans="1:5" ht="12.75">
      <c r="A37" s="24" t="s">
        <v>348</v>
      </c>
      <c r="B37" s="22"/>
      <c r="C37" s="325">
        <v>2836400</v>
      </c>
      <c r="D37" s="119">
        <v>101856</v>
      </c>
      <c r="E37" s="119">
        <v>101856</v>
      </c>
    </row>
    <row r="38" spans="1:5" ht="12.75">
      <c r="A38" s="319" t="s">
        <v>471</v>
      </c>
      <c r="B38" s="22"/>
      <c r="C38" s="325">
        <v>2836400</v>
      </c>
      <c r="D38" s="155">
        <v>59600</v>
      </c>
      <c r="E38" s="155">
        <v>59600</v>
      </c>
    </row>
    <row r="39" spans="1:5" ht="12.75">
      <c r="A39" s="319" t="s">
        <v>472</v>
      </c>
      <c r="B39" s="22"/>
      <c r="C39" s="325">
        <v>2836400</v>
      </c>
      <c r="D39" s="155">
        <v>41604</v>
      </c>
      <c r="E39" s="155">
        <v>41604</v>
      </c>
    </row>
    <row r="40" spans="1:5" ht="12.75">
      <c r="A40" s="319" t="s">
        <v>473</v>
      </c>
      <c r="B40" s="22"/>
      <c r="C40" s="325">
        <v>2836400</v>
      </c>
      <c r="D40" s="155">
        <v>63993.95</v>
      </c>
      <c r="E40" s="155">
        <v>63993.95</v>
      </c>
    </row>
    <row r="41" spans="1:5" ht="12.75">
      <c r="A41" s="319" t="s">
        <v>474</v>
      </c>
      <c r="B41" s="22"/>
      <c r="C41" s="325">
        <v>2836400</v>
      </c>
      <c r="D41" s="155">
        <v>135304.58</v>
      </c>
      <c r="E41" s="155">
        <v>135304.58</v>
      </c>
    </row>
    <row r="42" spans="1:5" ht="12.75">
      <c r="A42" s="24" t="s">
        <v>349</v>
      </c>
      <c r="B42" s="22"/>
      <c r="C42" s="325">
        <v>2836400</v>
      </c>
      <c r="D42" s="119">
        <f>SUM(D43:D53)</f>
        <v>708910.64</v>
      </c>
      <c r="E42" s="119">
        <f>SUM(E43:E53)</f>
        <v>708910.64</v>
      </c>
    </row>
    <row r="43" spans="1:5" ht="12.75">
      <c r="A43" s="24" t="s">
        <v>350</v>
      </c>
      <c r="B43" s="22"/>
      <c r="C43" s="325">
        <v>2836400</v>
      </c>
      <c r="D43" s="119">
        <v>40944.1</v>
      </c>
      <c r="E43" s="119">
        <v>40944.1</v>
      </c>
    </row>
    <row r="44" spans="1:5" ht="12.75">
      <c r="A44" s="24" t="s">
        <v>351</v>
      </c>
      <c r="B44" s="22"/>
      <c r="C44" s="325">
        <v>2836400</v>
      </c>
      <c r="D44" s="119">
        <v>29771.54</v>
      </c>
      <c r="E44" s="119">
        <v>29771.54</v>
      </c>
    </row>
    <row r="45" spans="1:5" ht="12.75">
      <c r="A45" s="24" t="s">
        <v>352</v>
      </c>
      <c r="B45" s="22"/>
      <c r="C45" s="325">
        <v>2836400</v>
      </c>
      <c r="D45" s="119">
        <v>83738</v>
      </c>
      <c r="E45" s="119">
        <v>83738</v>
      </c>
    </row>
    <row r="46" spans="1:5" ht="12.75">
      <c r="A46" s="24" t="s">
        <v>353</v>
      </c>
      <c r="B46" s="22"/>
      <c r="C46" s="325">
        <v>2836400</v>
      </c>
      <c r="D46" s="119">
        <f>32106.68+31473.32</f>
        <v>63580</v>
      </c>
      <c r="E46" s="119">
        <f>32106.68+31473.32</f>
        <v>63580</v>
      </c>
    </row>
    <row r="47" spans="1:5" ht="12.75">
      <c r="A47" s="316" t="s">
        <v>475</v>
      </c>
      <c r="B47" s="22"/>
      <c r="C47" s="325">
        <v>2836400</v>
      </c>
      <c r="D47" s="91">
        <v>66002.4</v>
      </c>
      <c r="E47" s="91">
        <v>66002.4</v>
      </c>
    </row>
    <row r="48" spans="1:5" ht="12.75">
      <c r="A48" s="316" t="s">
        <v>476</v>
      </c>
      <c r="B48" s="22"/>
      <c r="C48" s="325">
        <v>2836400</v>
      </c>
      <c r="D48" s="91">
        <v>68000</v>
      </c>
      <c r="E48" s="91">
        <v>68000</v>
      </c>
    </row>
    <row r="49" spans="1:5" ht="12.75">
      <c r="A49" s="316" t="s">
        <v>477</v>
      </c>
      <c r="B49" s="22"/>
      <c r="C49" s="325">
        <v>2836400</v>
      </c>
      <c r="D49" s="91">
        <v>48904.8</v>
      </c>
      <c r="E49" s="91">
        <v>48904.8</v>
      </c>
    </row>
    <row r="50" spans="1:5" ht="12.75">
      <c r="A50" s="316" t="s">
        <v>478</v>
      </c>
      <c r="B50" s="22"/>
      <c r="C50" s="325">
        <v>2836400</v>
      </c>
      <c r="D50" s="91">
        <v>99600</v>
      </c>
      <c r="E50" s="91">
        <v>99600</v>
      </c>
    </row>
    <row r="51" spans="1:5" ht="12.75">
      <c r="A51" s="257" t="s">
        <v>479</v>
      </c>
      <c r="B51" s="60"/>
      <c r="C51" s="325">
        <v>2836400</v>
      </c>
      <c r="D51" s="74">
        <v>53066.4</v>
      </c>
      <c r="E51" s="74">
        <v>53066.4</v>
      </c>
    </row>
    <row r="52" spans="1:5" ht="12.75" customHeight="1">
      <c r="A52" s="257" t="s">
        <v>480</v>
      </c>
      <c r="B52" s="60"/>
      <c r="C52" s="325">
        <v>2836400</v>
      </c>
      <c r="D52" s="74">
        <v>79742.6</v>
      </c>
      <c r="E52" s="74">
        <v>79742.6</v>
      </c>
    </row>
    <row r="53" spans="1:5" ht="24" customHeight="1">
      <c r="A53" s="257" t="s">
        <v>481</v>
      </c>
      <c r="B53" s="60"/>
      <c r="C53" s="325">
        <v>2836400</v>
      </c>
      <c r="D53" s="74">
        <v>75560.8</v>
      </c>
      <c r="E53" s="74">
        <v>75560.8</v>
      </c>
    </row>
    <row r="54" spans="1:5" ht="24" customHeight="1">
      <c r="A54" s="320" t="s">
        <v>33</v>
      </c>
      <c r="B54" s="317"/>
      <c r="C54" s="219">
        <f>C55</f>
        <v>0</v>
      </c>
      <c r="D54" s="56"/>
      <c r="E54" s="45"/>
    </row>
    <row r="55" spans="1:5" ht="24.75" customHeight="1">
      <c r="A55" s="320" t="s">
        <v>34</v>
      </c>
      <c r="B55" s="317"/>
      <c r="C55" s="219">
        <v>0</v>
      </c>
      <c r="D55" s="56"/>
      <c r="E55" s="45"/>
    </row>
    <row r="56" spans="1:5" ht="22.5">
      <c r="A56" s="55" t="s">
        <v>21</v>
      </c>
      <c r="B56" s="317"/>
      <c r="C56" s="219">
        <v>199500</v>
      </c>
      <c r="D56" s="56"/>
      <c r="E56" s="45"/>
    </row>
    <row r="57" spans="1:5" ht="22.5">
      <c r="A57" s="320" t="s">
        <v>482</v>
      </c>
      <c r="B57" s="317"/>
      <c r="C57" s="219">
        <v>199500</v>
      </c>
      <c r="D57" s="56"/>
      <c r="E57" s="45"/>
    </row>
    <row r="58" spans="1:5" ht="12.75">
      <c r="A58" s="181" t="s">
        <v>5</v>
      </c>
      <c r="B58" s="318"/>
      <c r="C58" s="321">
        <f>C4</f>
        <v>2836400</v>
      </c>
      <c r="D58" s="270">
        <f>D3</f>
        <v>2832568.82</v>
      </c>
      <c r="E58" s="270">
        <f>E3</f>
        <v>2832568.82</v>
      </c>
    </row>
    <row r="59" spans="1:5" ht="12.75">
      <c r="A59" s="181" t="s">
        <v>5</v>
      </c>
      <c r="B59" s="317"/>
      <c r="C59" s="219">
        <f>C55</f>
        <v>0</v>
      </c>
      <c r="D59" s="56"/>
      <c r="E59" s="45"/>
    </row>
    <row r="60" spans="1:5" ht="12.75">
      <c r="A60" s="173" t="s">
        <v>5</v>
      </c>
      <c r="B60" s="317"/>
      <c r="C60" s="219">
        <v>199500</v>
      </c>
      <c r="D60" s="56"/>
      <c r="E60" s="45"/>
    </row>
    <row r="61" spans="1:5" ht="12.75">
      <c r="A61" s="173" t="s">
        <v>5</v>
      </c>
      <c r="B61" s="317"/>
      <c r="C61" s="219">
        <f>C58+C59+C60</f>
        <v>3035900</v>
      </c>
      <c r="D61" s="56">
        <f>D58</f>
        <v>2832568.82</v>
      </c>
      <c r="E61" s="56">
        <f>E58</f>
        <v>2832568.82</v>
      </c>
    </row>
    <row r="62" spans="1:5" ht="22.5">
      <c r="A62" s="98" t="s">
        <v>21</v>
      </c>
      <c r="B62" s="317"/>
      <c r="C62" s="219">
        <f>C63+C64</f>
        <v>3960580</v>
      </c>
      <c r="D62" s="62">
        <f>D63</f>
        <v>360580</v>
      </c>
      <c r="E62" s="62">
        <f>E63</f>
        <v>360580</v>
      </c>
    </row>
    <row r="63" spans="1:5" ht="22.5">
      <c r="A63" s="266" t="s">
        <v>483</v>
      </c>
      <c r="B63" s="120" t="s">
        <v>356</v>
      </c>
      <c r="C63" s="219">
        <v>360580</v>
      </c>
      <c r="D63" s="62">
        <v>360580</v>
      </c>
      <c r="E63" s="51">
        <v>360580</v>
      </c>
    </row>
    <row r="64" spans="1:5" ht="26.25" customHeight="1">
      <c r="A64" s="266" t="s">
        <v>484</v>
      </c>
      <c r="B64" s="120"/>
      <c r="C64" s="219">
        <v>3600000</v>
      </c>
      <c r="D64" s="62"/>
      <c r="E64" s="51"/>
    </row>
    <row r="65" spans="1:5" ht="12.75">
      <c r="A65" s="322" t="s">
        <v>354</v>
      </c>
      <c r="B65" s="152" t="s">
        <v>435</v>
      </c>
      <c r="C65" s="330">
        <v>100000</v>
      </c>
      <c r="D65" s="56">
        <f>18440.4+9687.6+29037.6</f>
        <v>57165.6</v>
      </c>
      <c r="E65" s="153">
        <f>18440.4+9687.6+29037.6</f>
        <v>57165.6</v>
      </c>
    </row>
    <row r="66" spans="1:5" ht="20.25" customHeight="1">
      <c r="A66" s="322" t="s">
        <v>354</v>
      </c>
      <c r="B66" s="120" t="s">
        <v>60</v>
      </c>
      <c r="C66" s="329"/>
      <c r="D66" s="62">
        <f>699.24+429.6</f>
        <v>1128.8400000000001</v>
      </c>
      <c r="E66" s="81">
        <f>699.24+429.6</f>
        <v>1128.8400000000001</v>
      </c>
    </row>
    <row r="67" spans="1:5" ht="12.75">
      <c r="A67" s="266" t="s">
        <v>58</v>
      </c>
      <c r="B67" s="317"/>
      <c r="C67" s="219"/>
      <c r="D67" s="62">
        <f>D65+D66</f>
        <v>58294.44</v>
      </c>
      <c r="E67" s="62">
        <f>E65+E66</f>
        <v>58294.44</v>
      </c>
    </row>
    <row r="68" spans="1:5" ht="12.75">
      <c r="A68" s="331" t="s">
        <v>15</v>
      </c>
      <c r="B68" s="318"/>
      <c r="C68" s="321">
        <f>C63+C64</f>
        <v>3960580</v>
      </c>
      <c r="D68" s="61">
        <f>D63</f>
        <v>360580</v>
      </c>
      <c r="E68" s="61">
        <f>E63</f>
        <v>360580</v>
      </c>
    </row>
    <row r="69" spans="1:5" ht="12.75">
      <c r="A69" s="332"/>
      <c r="B69" s="317"/>
      <c r="C69" s="219">
        <f>C65</f>
        <v>100000</v>
      </c>
      <c r="D69" s="61">
        <f>D67</f>
        <v>58294.44</v>
      </c>
      <c r="E69" s="61">
        <f>E67</f>
        <v>58294.44</v>
      </c>
    </row>
    <row r="70" spans="1:5" ht="12.75">
      <c r="A70" s="251" t="s">
        <v>355</v>
      </c>
      <c r="B70" s="318"/>
      <c r="C70" s="321">
        <f>C68+C69</f>
        <v>4060580</v>
      </c>
      <c r="D70" s="81">
        <f>D68+D69</f>
        <v>418874.44</v>
      </c>
      <c r="E70" s="81">
        <f>E68+E69</f>
        <v>418874.44</v>
      </c>
    </row>
    <row r="71" spans="1:2" ht="12.75">
      <c r="A71" s="223" t="s">
        <v>451</v>
      </c>
      <c r="B71" s="264"/>
    </row>
    <row r="72" spans="1:2" ht="12.75">
      <c r="A72" s="223" t="s">
        <v>452</v>
      </c>
      <c r="B72" s="264"/>
    </row>
    <row r="73" spans="1:2" ht="12.75">
      <c r="A73" s="223" t="s">
        <v>53</v>
      </c>
      <c r="B73" s="264"/>
    </row>
    <row r="74" spans="1:2" ht="12.75">
      <c r="A74" s="223"/>
      <c r="B74" s="264"/>
    </row>
    <row r="75" spans="1:2" ht="12.75">
      <c r="A75" s="223"/>
      <c r="B75" s="264"/>
    </row>
  </sheetData>
  <sheetProtection selectLockedCells="1" selectUnlockedCells="1"/>
  <mergeCells count="2">
    <mergeCell ref="C65:C66"/>
    <mergeCell ref="A68:A69"/>
  </mergeCells>
  <printOptions/>
  <pageMargins left="0.7875" right="0.7875" top="0.39375" bottom="0.39375" header="0.5118055555555555" footer="0.5118055555555555"/>
  <pageSetup horizontalDpi="300" verticalDpi="3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>
    <tabColor rgb="FFC00000"/>
  </sheetPr>
  <dimension ref="A1:D25"/>
  <sheetViews>
    <sheetView zoomScale="110" zoomScaleNormal="110" zoomScaleSheetLayoutView="110" zoomScalePageLayoutView="0" workbookViewId="0" topLeftCell="A16">
      <selection activeCell="A27" sqref="A27"/>
    </sheetView>
  </sheetViews>
  <sheetFormatPr defaultColWidth="9.140625" defaultRowHeight="12.75"/>
  <cols>
    <col min="1" max="1" width="59.421875" style="1" customWidth="1"/>
    <col min="2" max="2" width="25.8515625" style="2" customWidth="1"/>
    <col min="3" max="3" width="18.57421875" style="2" customWidth="1"/>
    <col min="4" max="4" width="16.421875" style="2" customWidth="1"/>
  </cols>
  <sheetData>
    <row r="1" spans="1:4" s="4" customFormat="1" ht="12.75">
      <c r="A1" s="112" t="s">
        <v>458</v>
      </c>
      <c r="B1" s="112"/>
      <c r="C1" s="112"/>
      <c r="D1" s="112"/>
    </row>
    <row r="2" spans="1:4" s="7" customFormat="1" ht="29.25" customHeight="1">
      <c r="A2" s="56" t="s">
        <v>37</v>
      </c>
      <c r="B2" s="56" t="s">
        <v>3</v>
      </c>
      <c r="C2" s="56" t="s">
        <v>4</v>
      </c>
      <c r="D2" s="267" t="s">
        <v>1</v>
      </c>
    </row>
    <row r="3" spans="1:4" s="7" customFormat="1" ht="24.75" customHeight="1">
      <c r="A3" s="98" t="s">
        <v>24</v>
      </c>
      <c r="B3" s="120"/>
      <c r="C3" s="62">
        <f>C17</f>
        <v>645181.46</v>
      </c>
      <c r="D3" s="62">
        <f>D17</f>
        <v>645181.46</v>
      </c>
    </row>
    <row r="4" spans="1:4" s="7" customFormat="1" ht="25.5" customHeight="1">
      <c r="A4" s="266" t="s">
        <v>25</v>
      </c>
      <c r="B4" s="56" t="s">
        <v>165</v>
      </c>
      <c r="C4" s="62">
        <f>57500+57500</f>
        <v>115000</v>
      </c>
      <c r="D4" s="62">
        <f>57500+57500</f>
        <v>115000</v>
      </c>
    </row>
    <row r="5" spans="1:4" s="7" customFormat="1" ht="23.25" customHeight="1">
      <c r="A5" s="268" t="s">
        <v>26</v>
      </c>
      <c r="B5" s="56" t="s">
        <v>45</v>
      </c>
      <c r="C5" s="62">
        <f>23732+24471</f>
        <v>48203</v>
      </c>
      <c r="D5" s="62">
        <f>23732+24471</f>
        <v>48203</v>
      </c>
    </row>
    <row r="6" spans="1:4" s="7" customFormat="1" ht="21.75" customHeight="1">
      <c r="A6" s="268" t="s">
        <v>26</v>
      </c>
      <c r="B6" s="62" t="s">
        <v>42</v>
      </c>
      <c r="C6" s="62">
        <f>69476.35+44136.77+16828.28</f>
        <v>130441.4</v>
      </c>
      <c r="D6" s="62">
        <f>69476.35+44136.77+16828.28</f>
        <v>130441.4</v>
      </c>
    </row>
    <row r="7" spans="1:4" s="7" customFormat="1" ht="24.75" customHeight="1">
      <c r="A7" s="268" t="s">
        <v>26</v>
      </c>
      <c r="B7" s="56" t="s">
        <v>275</v>
      </c>
      <c r="C7" s="62">
        <v>75530.6</v>
      </c>
      <c r="D7" s="62">
        <v>75530.6</v>
      </c>
    </row>
    <row r="8" spans="1:4" s="7" customFormat="1" ht="17.25" customHeight="1">
      <c r="A8" s="266" t="s">
        <v>58</v>
      </c>
      <c r="B8" s="56"/>
      <c r="C8" s="62">
        <f>C5+C7+C6</f>
        <v>254175</v>
      </c>
      <c r="D8" s="62">
        <f>D5+D7+D6</f>
        <v>254175</v>
      </c>
    </row>
    <row r="9" spans="1:4" s="7" customFormat="1" ht="23.25" customHeight="1">
      <c r="A9" s="268" t="s">
        <v>27</v>
      </c>
      <c r="B9" s="62" t="s">
        <v>42</v>
      </c>
      <c r="C9" s="56">
        <f>69464.98+29580.08</f>
        <v>99045.06</v>
      </c>
      <c r="D9" s="56">
        <f>69464.98+29580.08</f>
        <v>99045.06</v>
      </c>
    </row>
    <row r="10" spans="1:4" s="7" customFormat="1" ht="24" customHeight="1">
      <c r="A10" s="268" t="s">
        <v>27</v>
      </c>
      <c r="B10" s="62" t="s">
        <v>250</v>
      </c>
      <c r="C10" s="56">
        <v>20000</v>
      </c>
      <c r="D10" s="56">
        <v>20000</v>
      </c>
    </row>
    <row r="11" spans="1:4" s="7" customFormat="1" ht="15" customHeight="1">
      <c r="A11" s="266" t="s">
        <v>58</v>
      </c>
      <c r="B11" s="62"/>
      <c r="C11" s="56">
        <f>C9+C10</f>
        <v>119045.06</v>
      </c>
      <c r="D11" s="56">
        <f>D9+D10</f>
        <v>119045.06</v>
      </c>
    </row>
    <row r="12" spans="1:4" s="7" customFormat="1" ht="22.5">
      <c r="A12" s="266" t="s">
        <v>192</v>
      </c>
      <c r="B12" s="56" t="s">
        <v>42</v>
      </c>
      <c r="C12" s="56">
        <f>91320.06+31024.04+31024.04+3593.26</f>
        <v>156961.40000000002</v>
      </c>
      <c r="D12" s="56">
        <f>91320.06+31024.04+31024.04+3593.26</f>
        <v>156961.40000000002</v>
      </c>
    </row>
    <row r="13" spans="1:4" s="7" customFormat="1" ht="22.5">
      <c r="A13" s="106" t="s">
        <v>279</v>
      </c>
      <c r="B13" s="250">
        <v>0</v>
      </c>
      <c r="C13" s="269">
        <v>0</v>
      </c>
      <c r="D13" s="62">
        <v>0</v>
      </c>
    </row>
    <row r="14" spans="1:4" s="7" customFormat="1" ht="27" customHeight="1">
      <c r="A14" s="106" t="s">
        <v>280</v>
      </c>
      <c r="B14" s="250">
        <v>0</v>
      </c>
      <c r="C14" s="269">
        <v>0</v>
      </c>
      <c r="D14" s="62">
        <v>0</v>
      </c>
    </row>
    <row r="15" spans="1:4" s="7" customFormat="1" ht="24" customHeight="1">
      <c r="A15" s="106" t="s">
        <v>281</v>
      </c>
      <c r="B15" s="250">
        <v>0</v>
      </c>
      <c r="C15" s="269">
        <v>0</v>
      </c>
      <c r="D15" s="62">
        <v>0</v>
      </c>
    </row>
    <row r="16" spans="1:4" s="7" customFormat="1" ht="24.75" customHeight="1">
      <c r="A16" s="106" t="s">
        <v>282</v>
      </c>
      <c r="B16" s="250">
        <v>0</v>
      </c>
      <c r="C16" s="269">
        <v>0</v>
      </c>
      <c r="D16" s="62">
        <v>0</v>
      </c>
    </row>
    <row r="17" spans="1:4" ht="18" customHeight="1">
      <c r="A17" s="221" t="s">
        <v>15</v>
      </c>
      <c r="B17" s="270"/>
      <c r="C17" s="81">
        <f>C4+C8+C11+C12</f>
        <v>645181.46</v>
      </c>
      <c r="D17" s="81">
        <f>D4+D8+D11+D12</f>
        <v>645181.46</v>
      </c>
    </row>
    <row r="18" ht="15" customHeight="1">
      <c r="A18" s="223" t="s">
        <v>451</v>
      </c>
    </row>
    <row r="19" ht="13.5" customHeight="1">
      <c r="A19" s="223" t="s">
        <v>452</v>
      </c>
    </row>
    <row r="20" spans="1:2" ht="12.75">
      <c r="A20" s="223" t="s">
        <v>53</v>
      </c>
      <c r="B20" s="16"/>
    </row>
    <row r="21" spans="1:2" ht="12.75">
      <c r="A21" s="223"/>
      <c r="B21" s="16"/>
    </row>
    <row r="22" spans="1:2" ht="12.75">
      <c r="A22" s="223"/>
      <c r="B22" s="16"/>
    </row>
    <row r="23" spans="1:2" ht="12.75">
      <c r="A23" s="15"/>
      <c r="B23" s="16"/>
    </row>
    <row r="25" ht="12.75">
      <c r="A25" s="18"/>
    </row>
  </sheetData>
  <sheetProtection selectLockedCells="1" selectUnlockedCells="1"/>
  <printOptions/>
  <pageMargins left="0.7875" right="0.7875" top="0.39375" bottom="0.39375" header="0.5118055555555555" footer="0.5118055555555555"/>
  <pageSetup horizontalDpi="300" verticalDpi="3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7">
    <tabColor rgb="FFC00000"/>
  </sheetPr>
  <dimension ref="A1:F280"/>
  <sheetViews>
    <sheetView zoomScaleSheetLayoutView="100" zoomScalePageLayoutView="0" workbookViewId="0" topLeftCell="A268">
      <selection activeCell="A275" sqref="A275:B280"/>
    </sheetView>
  </sheetViews>
  <sheetFormatPr defaultColWidth="9.140625" defaultRowHeight="12.75"/>
  <cols>
    <col min="1" max="1" width="47.8515625" style="31" customWidth="1"/>
    <col min="2" max="2" width="26.7109375" style="32" customWidth="1"/>
    <col min="3" max="3" width="14.140625" style="32" customWidth="1"/>
    <col min="4" max="4" width="18.7109375" style="32" customWidth="1"/>
  </cols>
  <sheetData>
    <row r="1" spans="1:4" ht="12.75">
      <c r="A1" s="275" t="s">
        <v>459</v>
      </c>
      <c r="B1" s="275"/>
      <c r="C1" s="275"/>
      <c r="D1" s="275"/>
    </row>
    <row r="2" spans="1:4" ht="41.25" customHeight="1">
      <c r="A2" s="276" t="s">
        <v>37</v>
      </c>
      <c r="B2" s="252" t="s">
        <v>3</v>
      </c>
      <c r="C2" s="276" t="s">
        <v>4</v>
      </c>
      <c r="D2" s="277" t="s">
        <v>1</v>
      </c>
    </row>
    <row r="3" spans="1:4" ht="21.75" customHeight="1">
      <c r="A3" s="335" t="s">
        <v>235</v>
      </c>
      <c r="B3" s="336"/>
      <c r="C3" s="336"/>
      <c r="D3" s="336"/>
    </row>
    <row r="4" spans="1:4" ht="21.75" customHeight="1">
      <c r="A4" s="255" t="s">
        <v>7</v>
      </c>
      <c r="B4" s="245" t="s">
        <v>309</v>
      </c>
      <c r="C4" s="245">
        <f>271109.26+919556.77+153472.87</f>
        <v>1344138.9</v>
      </c>
      <c r="D4" s="245">
        <f>271109.26+919556.77+153472.87</f>
        <v>1344138.9</v>
      </c>
    </row>
    <row r="5" spans="1:4" ht="15.75" customHeight="1">
      <c r="A5" s="255" t="s">
        <v>7</v>
      </c>
      <c r="B5" s="208" t="s">
        <v>102</v>
      </c>
      <c r="C5" s="97">
        <f>7578.2+25689.37+4283.04</f>
        <v>37550.61</v>
      </c>
      <c r="D5" s="97">
        <f>7578.2+25689.37+4283.04</f>
        <v>37550.61</v>
      </c>
    </row>
    <row r="6" spans="1:4" ht="18" customHeight="1">
      <c r="A6" s="272" t="s">
        <v>58</v>
      </c>
      <c r="B6" s="208"/>
      <c r="C6" s="256">
        <f>C4+C5</f>
        <v>1381689.51</v>
      </c>
      <c r="D6" s="256">
        <f>D4+D5</f>
        <v>1381689.51</v>
      </c>
    </row>
    <row r="7" spans="1:4" ht="16.5" customHeight="1">
      <c r="A7" s="255" t="s">
        <v>8</v>
      </c>
      <c r="B7" s="208" t="s">
        <v>150</v>
      </c>
      <c r="C7" s="256">
        <v>184771</v>
      </c>
      <c r="D7" s="155">
        <v>184771</v>
      </c>
    </row>
    <row r="8" spans="1:4" ht="16.5" customHeight="1">
      <c r="A8" s="255" t="s">
        <v>8</v>
      </c>
      <c r="B8" s="208" t="s">
        <v>102</v>
      </c>
      <c r="C8" s="256">
        <v>4433.42</v>
      </c>
      <c r="D8" s="155">
        <v>4433.42</v>
      </c>
    </row>
    <row r="9" spans="1:4" ht="16.5" customHeight="1">
      <c r="A9" s="272" t="s">
        <v>58</v>
      </c>
      <c r="B9" s="208"/>
      <c r="C9" s="256">
        <f>C7+C8</f>
        <v>189204.42</v>
      </c>
      <c r="D9" s="256">
        <f>D7+D8</f>
        <v>189204.42</v>
      </c>
    </row>
    <row r="10" spans="1:6" ht="18" customHeight="1">
      <c r="A10" s="255" t="s">
        <v>9</v>
      </c>
      <c r="B10" s="208" t="s">
        <v>150</v>
      </c>
      <c r="C10" s="256">
        <f>194370+146377.2</f>
        <v>340747.2</v>
      </c>
      <c r="D10" s="278">
        <f>194370+146377.2</f>
        <v>340747.2</v>
      </c>
      <c r="F10" s="35"/>
    </row>
    <row r="11" spans="1:6" ht="21" customHeight="1">
      <c r="A11" s="255" t="s">
        <v>9</v>
      </c>
      <c r="B11" s="208" t="s">
        <v>102</v>
      </c>
      <c r="C11" s="256">
        <f>4630+3445.25</f>
        <v>8075.25</v>
      </c>
      <c r="D11" s="278">
        <f>4630+3445.25</f>
        <v>8075.25</v>
      </c>
      <c r="F11" s="35"/>
    </row>
    <row r="12" spans="1:6" ht="18.75" customHeight="1">
      <c r="A12" s="272" t="s">
        <v>58</v>
      </c>
      <c r="B12" s="208"/>
      <c r="C12" s="256">
        <f>C10+C11</f>
        <v>348822.45</v>
      </c>
      <c r="D12" s="256">
        <f>D10+D11</f>
        <v>348822.45</v>
      </c>
      <c r="F12" s="35"/>
    </row>
    <row r="13" spans="1:4" s="6" customFormat="1" ht="19.5" customHeight="1">
      <c r="A13" s="272" t="s">
        <v>10</v>
      </c>
      <c r="B13" s="208"/>
      <c r="C13" s="256">
        <f>C16+C19+C22+C27+C32+C35+C38+C41+C44+C47+C50+C53+C56+C59+C62+C65+C68+C71+C74+C77+C80+C83+C86+C89+C92+C95+C98+C101+C104+C107+C110+C113+C116+C119+C122+C125+C128+C131+C134+C137+C140+C145+C148+C151+C154+C157+C160+C163+C166+C169+C172+C175+C178+C181+C184+C187+C190+C193+C196+C199+C202+C205+C208+C212+C215+C218+C221+C224+C227+C230+C233+C236+C239+C242+C245+C248+C251+C254+C257+C260+C263+C266+C269</f>
        <v>15149378.500000002</v>
      </c>
      <c r="D13" s="256">
        <f>D16+D19+D22+D27+D32+D35+D38+D41+D44+D47+D50+D53+D56+D59+D62+D65+D68+D71+D74+D77+D80+D83+D86+D89+D92+D95+D98+D101+D104+D107+D110+D113+D116+D119+D122+D125+D128+D131+D134+D137+D140+D145+D148+D151+D154+D157+D160+D163+D166+D169+D172+D175+D178+D181+D184+D187+D190+D193+D196+D199+D202+D205+D208+D212+D215+D218+D221+D224+D227+D230+D233+D236+D239+D242+D245+D248+D251+D254+D257+D260+D263+D266+D269</f>
        <v>15149378.500000002</v>
      </c>
    </row>
    <row r="14" spans="1:4" s="6" customFormat="1" ht="17.25" customHeight="1">
      <c r="A14" s="255" t="s">
        <v>115</v>
      </c>
      <c r="B14" s="208" t="s">
        <v>116</v>
      </c>
      <c r="C14" s="256">
        <v>194077</v>
      </c>
      <c r="D14" s="278">
        <v>194077</v>
      </c>
    </row>
    <row r="15" spans="1:4" s="6" customFormat="1" ht="18" customHeight="1">
      <c r="A15" s="255" t="s">
        <v>115</v>
      </c>
      <c r="B15" s="208" t="s">
        <v>102</v>
      </c>
      <c r="C15" s="208">
        <v>5360.55</v>
      </c>
      <c r="D15" s="275">
        <v>5360.55</v>
      </c>
    </row>
    <row r="16" spans="1:4" s="6" customFormat="1" ht="19.5" customHeight="1">
      <c r="A16" s="272" t="s">
        <v>58</v>
      </c>
      <c r="B16" s="208"/>
      <c r="C16" s="256">
        <f>C14+C15</f>
        <v>199437.55</v>
      </c>
      <c r="D16" s="256">
        <f>D14+D15</f>
        <v>199437.55</v>
      </c>
    </row>
    <row r="17" spans="1:4" s="6" customFormat="1" ht="16.5" customHeight="1">
      <c r="A17" s="255" t="s">
        <v>117</v>
      </c>
      <c r="B17" s="208" t="s">
        <v>119</v>
      </c>
      <c r="C17" s="256">
        <v>187902.19</v>
      </c>
      <c r="D17" s="256">
        <v>187902.19</v>
      </c>
    </row>
    <row r="18" spans="1:4" s="6" customFormat="1" ht="15" customHeight="1">
      <c r="A18" s="255" t="s">
        <v>117</v>
      </c>
      <c r="B18" s="208" t="s">
        <v>102</v>
      </c>
      <c r="C18" s="256">
        <v>4528.63</v>
      </c>
      <c r="D18" s="256">
        <v>4528.63</v>
      </c>
    </row>
    <row r="19" spans="1:4" s="6" customFormat="1" ht="17.25" customHeight="1">
      <c r="A19" s="272" t="s">
        <v>118</v>
      </c>
      <c r="B19" s="208"/>
      <c r="C19" s="256">
        <f>C17+C18</f>
        <v>192430.82</v>
      </c>
      <c r="D19" s="256">
        <f>D17+D18</f>
        <v>192430.82</v>
      </c>
    </row>
    <row r="20" spans="1:4" s="6" customFormat="1" ht="18" customHeight="1">
      <c r="A20" s="255" t="s">
        <v>120</v>
      </c>
      <c r="B20" s="208" t="s">
        <v>119</v>
      </c>
      <c r="C20" s="256">
        <f>95113.88+99176.41</f>
        <v>194290.29</v>
      </c>
      <c r="D20" s="256">
        <f>95113.88+99176.41</f>
        <v>194290.29</v>
      </c>
    </row>
    <row r="21" spans="1:4" s="6" customFormat="1" ht="15.75" customHeight="1">
      <c r="A21" s="255" t="s">
        <v>120</v>
      </c>
      <c r="B21" s="208" t="s">
        <v>102</v>
      </c>
      <c r="C21" s="256">
        <f>2267.84+2388.22</f>
        <v>4656.0599999999995</v>
      </c>
      <c r="D21" s="256">
        <f>2267.84+2388.22</f>
        <v>4656.0599999999995</v>
      </c>
    </row>
    <row r="22" spans="1:4" s="6" customFormat="1" ht="21" customHeight="1">
      <c r="A22" s="272" t="s">
        <v>58</v>
      </c>
      <c r="B22" s="208"/>
      <c r="C22" s="256">
        <f>C20+C21</f>
        <v>198946.35</v>
      </c>
      <c r="D22" s="256">
        <f>D20+D21</f>
        <v>198946.35</v>
      </c>
    </row>
    <row r="23" spans="1:4" s="6" customFormat="1" ht="15.75" customHeight="1">
      <c r="A23" s="255" t="s">
        <v>148</v>
      </c>
      <c r="B23" s="208" t="s">
        <v>45</v>
      </c>
      <c r="C23" s="256">
        <v>193161</v>
      </c>
      <c r="D23" s="256">
        <v>193161</v>
      </c>
    </row>
    <row r="24" spans="1:4" s="6" customFormat="1" ht="10.5" customHeight="1">
      <c r="A24" s="255" t="s">
        <v>148</v>
      </c>
      <c r="B24" s="208" t="s">
        <v>102</v>
      </c>
      <c r="C24" s="256">
        <v>5409.75</v>
      </c>
      <c r="D24" s="256">
        <v>5409.75</v>
      </c>
    </row>
    <row r="25" spans="1:4" s="6" customFormat="1" ht="12" customHeight="1">
      <c r="A25" s="255" t="s">
        <v>148</v>
      </c>
      <c r="B25" s="208" t="s">
        <v>170</v>
      </c>
      <c r="C25" s="256">
        <v>194723.14</v>
      </c>
      <c r="D25" s="256">
        <v>194723.14</v>
      </c>
    </row>
    <row r="26" spans="1:4" s="6" customFormat="1" ht="19.5" customHeight="1">
      <c r="A26" s="255" t="s">
        <v>148</v>
      </c>
      <c r="B26" s="208" t="s">
        <v>102</v>
      </c>
      <c r="C26" s="256">
        <v>4842.72</v>
      </c>
      <c r="D26" s="256">
        <v>4842.72</v>
      </c>
    </row>
    <row r="27" spans="1:4" s="6" customFormat="1" ht="15.75" customHeight="1">
      <c r="A27" s="272" t="s">
        <v>58</v>
      </c>
      <c r="B27" s="208"/>
      <c r="C27" s="256">
        <f>C23+C24+C25+C26</f>
        <v>398136.61</v>
      </c>
      <c r="D27" s="256">
        <f>D23+D24+D25+D26</f>
        <v>398136.61</v>
      </c>
    </row>
    <row r="28" spans="1:4" s="6" customFormat="1" ht="15.75" customHeight="1">
      <c r="A28" s="255" t="s">
        <v>149</v>
      </c>
      <c r="B28" s="208" t="s">
        <v>150</v>
      </c>
      <c r="C28" s="256">
        <v>194536.8</v>
      </c>
      <c r="D28" s="256">
        <v>194536.8</v>
      </c>
    </row>
    <row r="29" spans="1:4" s="6" customFormat="1" ht="17.25" customHeight="1">
      <c r="A29" s="255" t="s">
        <v>149</v>
      </c>
      <c r="B29" s="208" t="s">
        <v>102</v>
      </c>
      <c r="C29" s="256">
        <v>4716.99</v>
      </c>
      <c r="D29" s="256">
        <v>4716.99</v>
      </c>
    </row>
    <row r="30" spans="1:4" s="6" customFormat="1" ht="17.25" customHeight="1">
      <c r="A30" s="255" t="s">
        <v>149</v>
      </c>
      <c r="B30" s="208" t="s">
        <v>170</v>
      </c>
      <c r="C30" s="256">
        <v>192405.18</v>
      </c>
      <c r="D30" s="256">
        <v>192405.18</v>
      </c>
    </row>
    <row r="31" spans="1:4" s="6" customFormat="1" ht="17.25" customHeight="1">
      <c r="A31" s="255" t="s">
        <v>149</v>
      </c>
      <c r="B31" s="208" t="s">
        <v>102</v>
      </c>
      <c r="C31" s="256">
        <v>4787.51</v>
      </c>
      <c r="D31" s="256">
        <v>4787.51</v>
      </c>
    </row>
    <row r="32" spans="1:4" s="6" customFormat="1" ht="15.75" customHeight="1">
      <c r="A32" s="272" t="s">
        <v>58</v>
      </c>
      <c r="B32" s="208"/>
      <c r="C32" s="256">
        <f>C28+C29+C30+C31</f>
        <v>396446.48</v>
      </c>
      <c r="D32" s="256">
        <f>D28+D29+D30+D31</f>
        <v>396446.48</v>
      </c>
    </row>
    <row r="33" spans="1:4" s="6" customFormat="1" ht="18" customHeight="1">
      <c r="A33" s="255" t="s">
        <v>151</v>
      </c>
      <c r="B33" s="208" t="s">
        <v>150</v>
      </c>
      <c r="C33" s="256">
        <v>150027.6</v>
      </c>
      <c r="D33" s="256">
        <v>150027.6</v>
      </c>
    </row>
    <row r="34" spans="1:4" s="6" customFormat="1" ht="15.75" customHeight="1">
      <c r="A34" s="255" t="s">
        <v>151</v>
      </c>
      <c r="B34" s="208" t="s">
        <v>102</v>
      </c>
      <c r="C34" s="256">
        <v>3631.89</v>
      </c>
      <c r="D34" s="256">
        <v>3631.89</v>
      </c>
    </row>
    <row r="35" spans="1:4" s="6" customFormat="1" ht="16.5" customHeight="1">
      <c r="A35" s="272" t="s">
        <v>58</v>
      </c>
      <c r="B35" s="208"/>
      <c r="C35" s="256">
        <f>C33+C34</f>
        <v>153659.49000000002</v>
      </c>
      <c r="D35" s="256">
        <f>D33+D34</f>
        <v>153659.49000000002</v>
      </c>
    </row>
    <row r="36" spans="1:4" s="6" customFormat="1" ht="18" customHeight="1">
      <c r="A36" s="255" t="s">
        <v>152</v>
      </c>
      <c r="B36" s="208" t="s">
        <v>150</v>
      </c>
      <c r="C36" s="256">
        <v>84153.6</v>
      </c>
      <c r="D36" s="256">
        <v>84153.6</v>
      </c>
    </row>
    <row r="37" spans="1:4" s="6" customFormat="1" ht="17.25" customHeight="1">
      <c r="A37" s="255" t="s">
        <v>152</v>
      </c>
      <c r="B37" s="208" t="s">
        <v>102</v>
      </c>
      <c r="C37" s="256">
        <v>2034.84</v>
      </c>
      <c r="D37" s="256">
        <v>2034.84</v>
      </c>
    </row>
    <row r="38" spans="1:4" s="6" customFormat="1" ht="17.25" customHeight="1">
      <c r="A38" s="272" t="s">
        <v>58</v>
      </c>
      <c r="B38" s="208"/>
      <c r="C38" s="256">
        <f>C36+C37</f>
        <v>86188.44</v>
      </c>
      <c r="D38" s="256">
        <f>D36+D37</f>
        <v>86188.44</v>
      </c>
    </row>
    <row r="39" spans="1:4" s="6" customFormat="1" ht="28.5" customHeight="1">
      <c r="A39" s="255" t="s">
        <v>153</v>
      </c>
      <c r="B39" s="208" t="s">
        <v>154</v>
      </c>
      <c r="C39" s="256">
        <v>195138</v>
      </c>
      <c r="D39" s="256">
        <v>195138</v>
      </c>
    </row>
    <row r="40" spans="1:4" s="6" customFormat="1" ht="19.5" customHeight="1">
      <c r="A40" s="255" t="s">
        <v>153</v>
      </c>
      <c r="B40" s="208" t="s">
        <v>60</v>
      </c>
      <c r="C40" s="256">
        <v>5039.91</v>
      </c>
      <c r="D40" s="256">
        <v>5039.91</v>
      </c>
    </row>
    <row r="41" spans="1:4" s="6" customFormat="1" ht="17.25" customHeight="1">
      <c r="A41" s="272" t="s">
        <v>58</v>
      </c>
      <c r="B41" s="208"/>
      <c r="C41" s="256">
        <f>C39+C40</f>
        <v>200177.91</v>
      </c>
      <c r="D41" s="256">
        <f>D39+D40</f>
        <v>200177.91</v>
      </c>
    </row>
    <row r="42" spans="1:4" s="6" customFormat="1" ht="17.25" customHeight="1">
      <c r="A42" s="255" t="s">
        <v>155</v>
      </c>
      <c r="B42" s="208" t="s">
        <v>157</v>
      </c>
      <c r="C42" s="256">
        <v>66661.2</v>
      </c>
      <c r="D42" s="256">
        <v>66661.2</v>
      </c>
    </row>
    <row r="43" spans="1:4" s="6" customFormat="1" ht="16.5" customHeight="1">
      <c r="A43" s="255" t="s">
        <v>155</v>
      </c>
      <c r="B43" s="208" t="s">
        <v>60</v>
      </c>
      <c r="C43" s="256">
        <v>1588.92</v>
      </c>
      <c r="D43" s="256">
        <v>1588.92</v>
      </c>
    </row>
    <row r="44" spans="1:4" s="6" customFormat="1" ht="17.25" customHeight="1">
      <c r="A44" s="272" t="s">
        <v>58</v>
      </c>
      <c r="B44" s="208"/>
      <c r="C44" s="256">
        <f>C42+C43</f>
        <v>68250.12</v>
      </c>
      <c r="D44" s="256">
        <f>D42+D43</f>
        <v>68250.12</v>
      </c>
    </row>
    <row r="45" spans="1:4" s="6" customFormat="1" ht="27.75" customHeight="1">
      <c r="A45" s="255" t="s">
        <v>156</v>
      </c>
      <c r="B45" s="208" t="s">
        <v>154</v>
      </c>
      <c r="C45" s="256">
        <v>195273.6</v>
      </c>
      <c r="D45" s="256">
        <v>195273.6</v>
      </c>
    </row>
    <row r="46" spans="1:4" s="6" customFormat="1" ht="17.25" customHeight="1">
      <c r="A46" s="255" t="s">
        <v>156</v>
      </c>
      <c r="B46" s="208" t="s">
        <v>102</v>
      </c>
      <c r="C46" s="256">
        <v>4868.34</v>
      </c>
      <c r="D46" s="256">
        <v>4868.34</v>
      </c>
    </row>
    <row r="47" spans="1:4" s="6" customFormat="1" ht="15" customHeight="1">
      <c r="A47" s="272" t="s">
        <v>58</v>
      </c>
      <c r="B47" s="208"/>
      <c r="C47" s="256">
        <f>C45+C46</f>
        <v>200141.94</v>
      </c>
      <c r="D47" s="256">
        <f>D45+D46</f>
        <v>200141.94</v>
      </c>
    </row>
    <row r="48" spans="1:4" s="6" customFormat="1" ht="19.5" customHeight="1">
      <c r="A48" s="255" t="s">
        <v>158</v>
      </c>
      <c r="B48" s="208" t="s">
        <v>150</v>
      </c>
      <c r="C48" s="256">
        <v>72434.4</v>
      </c>
      <c r="D48" s="256">
        <v>72434.4</v>
      </c>
    </row>
    <row r="49" spans="1:4" s="6" customFormat="1" ht="12.75">
      <c r="A49" s="255" t="s">
        <v>158</v>
      </c>
      <c r="B49" s="208" t="s">
        <v>102</v>
      </c>
      <c r="C49" s="256">
        <v>1727.64</v>
      </c>
      <c r="D49" s="256">
        <v>1727.64</v>
      </c>
    </row>
    <row r="50" spans="1:4" s="6" customFormat="1" ht="15.75" customHeight="1">
      <c r="A50" s="272" t="s">
        <v>58</v>
      </c>
      <c r="B50" s="208"/>
      <c r="C50" s="256">
        <f>C48+C49</f>
        <v>74162.04</v>
      </c>
      <c r="D50" s="256">
        <f>D48+D49</f>
        <v>74162.04</v>
      </c>
    </row>
    <row r="51" spans="1:4" s="6" customFormat="1" ht="14.25" customHeight="1">
      <c r="A51" s="333" t="s">
        <v>159</v>
      </c>
      <c r="B51" s="208" t="s">
        <v>160</v>
      </c>
      <c r="C51" s="256">
        <v>195143.4</v>
      </c>
      <c r="D51" s="256">
        <v>195143.4</v>
      </c>
    </row>
    <row r="52" spans="1:4" s="6" customFormat="1" ht="16.5" customHeight="1">
      <c r="A52" s="334"/>
      <c r="B52" s="208" t="s">
        <v>102</v>
      </c>
      <c r="C52" s="256">
        <v>4831.78</v>
      </c>
      <c r="D52" s="256">
        <v>4831.78</v>
      </c>
    </row>
    <row r="53" spans="1:4" s="6" customFormat="1" ht="15.75" customHeight="1">
      <c r="A53" s="272" t="s">
        <v>58</v>
      </c>
      <c r="B53" s="208"/>
      <c r="C53" s="256">
        <f>C51+C52</f>
        <v>199975.18</v>
      </c>
      <c r="D53" s="256">
        <f>D51+D52</f>
        <v>199975.18</v>
      </c>
    </row>
    <row r="54" spans="1:4" s="6" customFormat="1" ht="15.75" customHeight="1">
      <c r="A54" s="255" t="s">
        <v>161</v>
      </c>
      <c r="B54" s="208" t="s">
        <v>160</v>
      </c>
      <c r="C54" s="256">
        <v>132328.63</v>
      </c>
      <c r="D54" s="256">
        <v>132328.63</v>
      </c>
    </row>
    <row r="55" spans="1:4" s="6" customFormat="1" ht="15.75" customHeight="1">
      <c r="A55" s="255" t="s">
        <v>161</v>
      </c>
      <c r="B55" s="208" t="s">
        <v>60</v>
      </c>
      <c r="C55" s="256">
        <v>3146.67</v>
      </c>
      <c r="D55" s="256">
        <v>3146.67</v>
      </c>
    </row>
    <row r="56" spans="1:4" s="6" customFormat="1" ht="15.75" customHeight="1">
      <c r="A56" s="272" t="s">
        <v>58</v>
      </c>
      <c r="B56" s="208"/>
      <c r="C56" s="256">
        <f>C54+C55</f>
        <v>135475.30000000002</v>
      </c>
      <c r="D56" s="256">
        <f>D54+D55</f>
        <v>135475.30000000002</v>
      </c>
    </row>
    <row r="57" spans="1:4" s="6" customFormat="1" ht="15.75" customHeight="1">
      <c r="A57" s="255" t="s">
        <v>162</v>
      </c>
      <c r="B57" s="208" t="s">
        <v>160</v>
      </c>
      <c r="C57" s="256">
        <v>194468.52</v>
      </c>
      <c r="D57" s="256">
        <v>194468.52</v>
      </c>
    </row>
    <row r="58" spans="1:4" s="6" customFormat="1" ht="15.75" customHeight="1">
      <c r="A58" s="255" t="s">
        <v>162</v>
      </c>
      <c r="B58" s="208" t="s">
        <v>60</v>
      </c>
      <c r="C58" s="256">
        <v>4636.21</v>
      </c>
      <c r="D58" s="256">
        <v>4636.21</v>
      </c>
    </row>
    <row r="59" spans="1:4" s="6" customFormat="1" ht="12.75">
      <c r="A59" s="272" t="s">
        <v>58</v>
      </c>
      <c r="B59" s="208"/>
      <c r="C59" s="256">
        <f>C57+C58</f>
        <v>199104.72999999998</v>
      </c>
      <c r="D59" s="256">
        <f>D57+D58</f>
        <v>199104.72999999998</v>
      </c>
    </row>
    <row r="60" spans="1:4" s="6" customFormat="1" ht="14.25" customHeight="1">
      <c r="A60" s="255" t="s">
        <v>169</v>
      </c>
      <c r="B60" s="208" t="s">
        <v>170</v>
      </c>
      <c r="C60" s="256">
        <v>195214.01</v>
      </c>
      <c r="D60" s="256">
        <v>195214.01</v>
      </c>
    </row>
    <row r="61" spans="1:4" s="6" customFormat="1" ht="15.75" customHeight="1">
      <c r="A61" s="255" t="s">
        <v>169</v>
      </c>
      <c r="B61" s="208" t="s">
        <v>60</v>
      </c>
      <c r="C61" s="256">
        <v>4853.32</v>
      </c>
      <c r="D61" s="256">
        <v>4853.32</v>
      </c>
    </row>
    <row r="62" spans="1:4" s="6" customFormat="1" ht="15.75" customHeight="1">
      <c r="A62" s="272" t="s">
        <v>58</v>
      </c>
      <c r="B62" s="208"/>
      <c r="C62" s="256">
        <f>C60+C61</f>
        <v>200067.33000000002</v>
      </c>
      <c r="D62" s="256">
        <f>D60+D61</f>
        <v>200067.33000000002</v>
      </c>
    </row>
    <row r="63" spans="1:4" s="6" customFormat="1" ht="15" customHeight="1">
      <c r="A63" s="255" t="s">
        <v>171</v>
      </c>
      <c r="B63" s="208" t="s">
        <v>170</v>
      </c>
      <c r="C63" s="256">
        <v>194827.75</v>
      </c>
      <c r="D63" s="256">
        <v>194827.75</v>
      </c>
    </row>
    <row r="64" spans="1:4" s="6" customFormat="1" ht="16.5" customHeight="1">
      <c r="A64" s="255" t="s">
        <v>171</v>
      </c>
      <c r="B64" s="208" t="s">
        <v>60</v>
      </c>
      <c r="C64" s="256">
        <v>4843.71</v>
      </c>
      <c r="D64" s="256">
        <v>4843.71</v>
      </c>
    </row>
    <row r="65" spans="1:4" s="6" customFormat="1" ht="13.5" customHeight="1">
      <c r="A65" s="272" t="s">
        <v>58</v>
      </c>
      <c r="B65" s="208"/>
      <c r="C65" s="256">
        <f>C63+C64</f>
        <v>199671.46</v>
      </c>
      <c r="D65" s="256">
        <f>D63+D64</f>
        <v>199671.46</v>
      </c>
    </row>
    <row r="66" spans="1:4" s="6" customFormat="1" ht="18" customHeight="1">
      <c r="A66" s="255" t="s">
        <v>172</v>
      </c>
      <c r="B66" s="208" t="s">
        <v>170</v>
      </c>
      <c r="C66" s="256">
        <v>194568.65</v>
      </c>
      <c r="D66" s="256">
        <v>194568.65</v>
      </c>
    </row>
    <row r="67" spans="1:4" s="6" customFormat="1" ht="18" customHeight="1">
      <c r="A67" s="255" t="s">
        <v>172</v>
      </c>
      <c r="B67" s="208" t="s">
        <v>60</v>
      </c>
      <c r="C67" s="256">
        <v>4837.26</v>
      </c>
      <c r="D67" s="256">
        <v>4837.26</v>
      </c>
    </row>
    <row r="68" spans="1:4" s="6" customFormat="1" ht="13.5" customHeight="1">
      <c r="A68" s="272" t="s">
        <v>58</v>
      </c>
      <c r="B68" s="208"/>
      <c r="C68" s="256">
        <f>C66+C67</f>
        <v>199405.91</v>
      </c>
      <c r="D68" s="256">
        <f>D66+D67</f>
        <v>199405.91</v>
      </c>
    </row>
    <row r="69" spans="1:4" s="6" customFormat="1" ht="18" customHeight="1">
      <c r="A69" s="255" t="s">
        <v>173</v>
      </c>
      <c r="B69" s="208" t="s">
        <v>174</v>
      </c>
      <c r="C69" s="256">
        <v>194096</v>
      </c>
      <c r="D69" s="256">
        <v>194096</v>
      </c>
    </row>
    <row r="70" spans="1:4" s="6" customFormat="1" ht="18" customHeight="1">
      <c r="A70" s="255" t="s">
        <v>173</v>
      </c>
      <c r="B70" s="208" t="s">
        <v>60</v>
      </c>
      <c r="C70" s="256">
        <v>5151.6</v>
      </c>
      <c r="D70" s="256">
        <v>5151.6</v>
      </c>
    </row>
    <row r="71" spans="1:4" s="6" customFormat="1" ht="16.5" customHeight="1">
      <c r="A71" s="272" t="s">
        <v>58</v>
      </c>
      <c r="B71" s="208"/>
      <c r="C71" s="256">
        <f>C69+C70</f>
        <v>199247.6</v>
      </c>
      <c r="D71" s="256">
        <f>D69+D70</f>
        <v>199247.6</v>
      </c>
    </row>
    <row r="72" spans="1:4" s="6" customFormat="1" ht="13.5" customHeight="1">
      <c r="A72" s="255" t="s">
        <v>175</v>
      </c>
      <c r="B72" s="208" t="s">
        <v>170</v>
      </c>
      <c r="C72" s="256">
        <v>194892.61</v>
      </c>
      <c r="D72" s="256">
        <v>194892.61</v>
      </c>
    </row>
    <row r="73" spans="1:4" s="6" customFormat="1" ht="17.25" customHeight="1">
      <c r="A73" s="255" t="s">
        <v>175</v>
      </c>
      <c r="B73" s="208" t="s">
        <v>60</v>
      </c>
      <c r="C73" s="256">
        <v>4845.32</v>
      </c>
      <c r="D73" s="256">
        <v>4845.32</v>
      </c>
    </row>
    <row r="74" spans="1:4" s="6" customFormat="1" ht="14.25" customHeight="1">
      <c r="A74" s="272" t="s">
        <v>58</v>
      </c>
      <c r="B74" s="208"/>
      <c r="C74" s="256">
        <f>C72+C73</f>
        <v>199737.93</v>
      </c>
      <c r="D74" s="256">
        <f>D72+D73</f>
        <v>199737.93</v>
      </c>
    </row>
    <row r="75" spans="1:4" s="6" customFormat="1" ht="14.25" customHeight="1">
      <c r="A75" s="279" t="s">
        <v>108</v>
      </c>
      <c r="B75" s="208" t="s">
        <v>160</v>
      </c>
      <c r="C75" s="256">
        <v>193259.38</v>
      </c>
      <c r="D75" s="256">
        <v>193259.38</v>
      </c>
    </row>
    <row r="76" spans="1:4" s="6" customFormat="1" ht="13.5" customHeight="1">
      <c r="A76" s="279" t="s">
        <v>108</v>
      </c>
      <c r="B76" s="208" t="s">
        <v>60</v>
      </c>
      <c r="C76" s="256">
        <v>4655.34</v>
      </c>
      <c r="D76" s="256">
        <v>4655.34</v>
      </c>
    </row>
    <row r="77" spans="1:4" s="6" customFormat="1" ht="14.25" customHeight="1">
      <c r="A77" s="272" t="s">
        <v>58</v>
      </c>
      <c r="B77" s="208"/>
      <c r="C77" s="256">
        <f>C75+C76</f>
        <v>197914.72</v>
      </c>
      <c r="D77" s="256">
        <f>D75+D76</f>
        <v>197914.72</v>
      </c>
    </row>
    <row r="78" spans="1:4" s="6" customFormat="1" ht="16.5" customHeight="1">
      <c r="A78" s="279" t="s">
        <v>176</v>
      </c>
      <c r="B78" s="208" t="s">
        <v>170</v>
      </c>
      <c r="C78" s="256">
        <v>194999.23</v>
      </c>
      <c r="D78" s="256">
        <v>194999.23</v>
      </c>
    </row>
    <row r="79" spans="1:4" s="6" customFormat="1" ht="15" customHeight="1">
      <c r="A79" s="279" t="s">
        <v>176</v>
      </c>
      <c r="B79" s="208" t="s">
        <v>60</v>
      </c>
      <c r="C79" s="256">
        <v>4847.13</v>
      </c>
      <c r="D79" s="256">
        <v>4847.13</v>
      </c>
    </row>
    <row r="80" spans="1:4" s="6" customFormat="1" ht="12.75" customHeight="1">
      <c r="A80" s="272" t="s">
        <v>58</v>
      </c>
      <c r="B80" s="208"/>
      <c r="C80" s="256">
        <f>C78+C79</f>
        <v>199846.36000000002</v>
      </c>
      <c r="D80" s="256">
        <f>D78+D79</f>
        <v>199846.36000000002</v>
      </c>
    </row>
    <row r="81" spans="1:4" s="6" customFormat="1" ht="17.25" customHeight="1">
      <c r="A81" s="255" t="s">
        <v>177</v>
      </c>
      <c r="B81" s="208" t="s">
        <v>170</v>
      </c>
      <c r="C81" s="256">
        <v>194857.51</v>
      </c>
      <c r="D81" s="256">
        <v>194857.51</v>
      </c>
    </row>
    <row r="82" spans="1:4" s="6" customFormat="1" ht="18" customHeight="1">
      <c r="A82" s="255" t="s">
        <v>177</v>
      </c>
      <c r="B82" s="208" t="s">
        <v>60</v>
      </c>
      <c r="C82" s="256">
        <v>4847.82</v>
      </c>
      <c r="D82" s="256">
        <v>4847.82</v>
      </c>
    </row>
    <row r="83" spans="1:4" s="6" customFormat="1" ht="18" customHeight="1">
      <c r="A83" s="272" t="s">
        <v>58</v>
      </c>
      <c r="B83" s="208"/>
      <c r="C83" s="256">
        <f>C81+C82</f>
        <v>199705.33000000002</v>
      </c>
      <c r="D83" s="256">
        <f>D81+D82</f>
        <v>199705.33000000002</v>
      </c>
    </row>
    <row r="84" spans="1:4" s="6" customFormat="1" ht="18" customHeight="1">
      <c r="A84" s="255" t="s">
        <v>178</v>
      </c>
      <c r="B84" s="208" t="s">
        <v>170</v>
      </c>
      <c r="C84" s="256">
        <v>193866.74</v>
      </c>
      <c r="D84" s="256">
        <v>193866.74</v>
      </c>
    </row>
    <row r="85" spans="1:4" s="6" customFormat="1" ht="18" customHeight="1">
      <c r="A85" s="255" t="s">
        <v>178</v>
      </c>
      <c r="B85" s="208" t="s">
        <v>60</v>
      </c>
      <c r="C85" s="256">
        <v>4823.1</v>
      </c>
      <c r="D85" s="256">
        <v>4823.1</v>
      </c>
    </row>
    <row r="86" spans="1:4" s="6" customFormat="1" ht="18" customHeight="1">
      <c r="A86" s="272" t="s">
        <v>58</v>
      </c>
      <c r="B86" s="208"/>
      <c r="C86" s="256">
        <f>C84+C85</f>
        <v>198689.84</v>
      </c>
      <c r="D86" s="256">
        <f>D84+D85</f>
        <v>198689.84</v>
      </c>
    </row>
    <row r="87" spans="1:4" s="6" customFormat="1" ht="16.5" customHeight="1">
      <c r="A87" s="255" t="s">
        <v>179</v>
      </c>
      <c r="B87" s="208" t="s">
        <v>150</v>
      </c>
      <c r="C87" s="256">
        <v>194169.6</v>
      </c>
      <c r="D87" s="256">
        <v>194169.6</v>
      </c>
    </row>
    <row r="88" spans="1:4" s="6" customFormat="1" ht="15.75" customHeight="1">
      <c r="A88" s="255" t="s">
        <v>179</v>
      </c>
      <c r="B88" s="208" t="s">
        <v>60</v>
      </c>
      <c r="C88" s="256">
        <v>4744.11</v>
      </c>
      <c r="D88" s="256">
        <v>4744.11</v>
      </c>
    </row>
    <row r="89" spans="1:4" s="6" customFormat="1" ht="12.75" customHeight="1">
      <c r="A89" s="272" t="s">
        <v>58</v>
      </c>
      <c r="B89" s="208"/>
      <c r="C89" s="256">
        <f>C87+C88</f>
        <v>198913.71</v>
      </c>
      <c r="D89" s="256">
        <f>D87+D88</f>
        <v>198913.71</v>
      </c>
    </row>
    <row r="90" spans="1:4" s="6" customFormat="1" ht="16.5" customHeight="1">
      <c r="A90" s="255" t="s">
        <v>180</v>
      </c>
      <c r="B90" s="208" t="s">
        <v>160</v>
      </c>
      <c r="C90" s="256">
        <v>193801.74</v>
      </c>
      <c r="D90" s="256">
        <v>193801.74</v>
      </c>
    </row>
    <row r="91" spans="1:4" s="6" customFormat="1" ht="18" customHeight="1">
      <c r="A91" s="255" t="s">
        <v>180</v>
      </c>
      <c r="B91" s="208" t="s">
        <v>60</v>
      </c>
      <c r="C91" s="256">
        <v>4678</v>
      </c>
      <c r="D91" s="256">
        <v>4678</v>
      </c>
    </row>
    <row r="92" spans="1:4" s="6" customFormat="1" ht="18" customHeight="1">
      <c r="A92" s="272" t="s">
        <v>58</v>
      </c>
      <c r="B92" s="208"/>
      <c r="C92" s="256">
        <f>C90+C91</f>
        <v>198479.74</v>
      </c>
      <c r="D92" s="256">
        <f>D90+D91</f>
        <v>198479.74</v>
      </c>
    </row>
    <row r="93" spans="1:4" s="6" customFormat="1" ht="14.25" customHeight="1">
      <c r="A93" s="255" t="s">
        <v>181</v>
      </c>
      <c r="B93" s="208" t="s">
        <v>170</v>
      </c>
      <c r="C93" s="256">
        <v>193242.86</v>
      </c>
      <c r="D93" s="256">
        <v>193242.86</v>
      </c>
    </row>
    <row r="94" spans="1:4" s="6" customFormat="1" ht="15.75" customHeight="1">
      <c r="A94" s="255" t="s">
        <v>181</v>
      </c>
      <c r="B94" s="208" t="s">
        <v>60</v>
      </c>
      <c r="C94" s="256">
        <v>4807.61</v>
      </c>
      <c r="D94" s="256">
        <v>4807.61</v>
      </c>
    </row>
    <row r="95" spans="1:4" s="6" customFormat="1" ht="18" customHeight="1">
      <c r="A95" s="272" t="s">
        <v>58</v>
      </c>
      <c r="B95" s="208"/>
      <c r="C95" s="256">
        <f>C93+C94</f>
        <v>198050.46999999997</v>
      </c>
      <c r="D95" s="256">
        <f>D93+D94</f>
        <v>198050.46999999997</v>
      </c>
    </row>
    <row r="96" spans="1:4" s="6" customFormat="1" ht="16.5" customHeight="1">
      <c r="A96" s="255" t="s">
        <v>182</v>
      </c>
      <c r="B96" s="208" t="s">
        <v>170</v>
      </c>
      <c r="C96" s="256">
        <v>193253.78</v>
      </c>
      <c r="D96" s="256">
        <v>193253.78</v>
      </c>
    </row>
    <row r="97" spans="1:4" s="6" customFormat="1" ht="18" customHeight="1">
      <c r="A97" s="255" t="s">
        <v>182</v>
      </c>
      <c r="B97" s="208" t="s">
        <v>60</v>
      </c>
      <c r="C97" s="256">
        <v>4807.87</v>
      </c>
      <c r="D97" s="256">
        <v>4807.87</v>
      </c>
    </row>
    <row r="98" spans="1:4" s="6" customFormat="1" ht="12.75" customHeight="1">
      <c r="A98" s="272" t="s">
        <v>58</v>
      </c>
      <c r="B98" s="208"/>
      <c r="C98" s="256">
        <f>C96+C97</f>
        <v>198061.65</v>
      </c>
      <c r="D98" s="256">
        <f>D96+D97</f>
        <v>198061.65</v>
      </c>
    </row>
    <row r="99" spans="1:4" s="6" customFormat="1" ht="16.5" customHeight="1">
      <c r="A99" s="255" t="s">
        <v>208</v>
      </c>
      <c r="B99" s="208" t="s">
        <v>212</v>
      </c>
      <c r="C99" s="256">
        <v>49751.64</v>
      </c>
      <c r="D99" s="256">
        <v>49751.64</v>
      </c>
    </row>
    <row r="100" spans="1:4" s="6" customFormat="1" ht="15.75" customHeight="1">
      <c r="A100" s="255" t="s">
        <v>208</v>
      </c>
      <c r="B100" s="208" t="s">
        <v>60</v>
      </c>
      <c r="C100" s="256">
        <v>1198.73</v>
      </c>
      <c r="D100" s="256">
        <v>1198.73</v>
      </c>
    </row>
    <row r="101" spans="1:4" s="6" customFormat="1" ht="17.25" customHeight="1">
      <c r="A101" s="272" t="s">
        <v>58</v>
      </c>
      <c r="B101" s="208"/>
      <c r="C101" s="256">
        <f>C99+C100</f>
        <v>50950.37</v>
      </c>
      <c r="D101" s="256">
        <f>D99+D100</f>
        <v>50950.37</v>
      </c>
    </row>
    <row r="102" spans="1:4" s="6" customFormat="1" ht="18.75" customHeight="1">
      <c r="A102" s="255" t="s">
        <v>209</v>
      </c>
      <c r="B102" s="208" t="s">
        <v>170</v>
      </c>
      <c r="C102" s="256">
        <v>189886.16</v>
      </c>
      <c r="D102" s="256">
        <v>189886.16</v>
      </c>
    </row>
    <row r="103" spans="1:4" s="6" customFormat="1" ht="15.75" customHeight="1">
      <c r="A103" s="255" t="s">
        <v>209</v>
      </c>
      <c r="B103" s="208" t="s">
        <v>60</v>
      </c>
      <c r="C103" s="256">
        <v>4724.06</v>
      </c>
      <c r="D103" s="256">
        <v>4724.06</v>
      </c>
    </row>
    <row r="104" spans="1:4" s="6" customFormat="1" ht="17.25" customHeight="1">
      <c r="A104" s="272" t="s">
        <v>58</v>
      </c>
      <c r="B104" s="208"/>
      <c r="C104" s="256">
        <f>C102+C103</f>
        <v>194610.22</v>
      </c>
      <c r="D104" s="256">
        <f>D102+D103</f>
        <v>194610.22</v>
      </c>
    </row>
    <row r="105" spans="1:4" s="6" customFormat="1" ht="16.5" customHeight="1">
      <c r="A105" s="255" t="s">
        <v>210</v>
      </c>
      <c r="B105" s="208" t="s">
        <v>150</v>
      </c>
      <c r="C105" s="256">
        <v>194431.2</v>
      </c>
      <c r="D105" s="256">
        <v>194431.2</v>
      </c>
    </row>
    <row r="106" spans="1:4" s="6" customFormat="1" ht="17.25" customHeight="1">
      <c r="A106" s="255" t="s">
        <v>210</v>
      </c>
      <c r="B106" s="208" t="s">
        <v>60</v>
      </c>
      <c r="C106" s="256">
        <v>4790.13</v>
      </c>
      <c r="D106" s="256">
        <v>4790.13</v>
      </c>
    </row>
    <row r="107" spans="1:4" s="6" customFormat="1" ht="18" customHeight="1">
      <c r="A107" s="272" t="s">
        <v>58</v>
      </c>
      <c r="B107" s="208"/>
      <c r="C107" s="256">
        <f>C105+C106</f>
        <v>199221.33000000002</v>
      </c>
      <c r="D107" s="256">
        <f>D105+D106</f>
        <v>199221.33000000002</v>
      </c>
    </row>
    <row r="108" spans="1:4" s="6" customFormat="1" ht="20.25" customHeight="1">
      <c r="A108" s="255" t="s">
        <v>211</v>
      </c>
      <c r="B108" s="208" t="s">
        <v>212</v>
      </c>
      <c r="C108" s="256">
        <v>187273.06</v>
      </c>
      <c r="D108" s="256">
        <v>187273.06</v>
      </c>
    </row>
    <row r="109" spans="1:4" s="6" customFormat="1" ht="14.25" customHeight="1">
      <c r="A109" s="255" t="s">
        <v>211</v>
      </c>
      <c r="B109" s="208" t="s">
        <v>60</v>
      </c>
      <c r="C109" s="256">
        <v>4505.55</v>
      </c>
      <c r="D109" s="256">
        <v>4505.55</v>
      </c>
    </row>
    <row r="110" spans="1:4" s="6" customFormat="1" ht="16.5" customHeight="1">
      <c r="A110" s="272" t="s">
        <v>58</v>
      </c>
      <c r="B110" s="208"/>
      <c r="C110" s="256">
        <f>C108+C109</f>
        <v>191778.61</v>
      </c>
      <c r="D110" s="256">
        <f>D108+D109</f>
        <v>191778.61</v>
      </c>
    </row>
    <row r="111" spans="1:4" s="6" customFormat="1" ht="18.75" customHeight="1">
      <c r="A111" s="255" t="s">
        <v>213</v>
      </c>
      <c r="B111" s="208" t="s">
        <v>150</v>
      </c>
      <c r="C111" s="256">
        <v>194007.6</v>
      </c>
      <c r="D111" s="256">
        <v>194007.6</v>
      </c>
    </row>
    <row r="112" spans="1:4" s="6" customFormat="1" ht="19.5" customHeight="1">
      <c r="A112" s="255" t="s">
        <v>213</v>
      </c>
      <c r="B112" s="208" t="s">
        <v>60</v>
      </c>
      <c r="C112" s="256">
        <v>4753.44</v>
      </c>
      <c r="D112" s="256">
        <v>4753.44</v>
      </c>
    </row>
    <row r="113" spans="1:4" s="6" customFormat="1" ht="15.75" customHeight="1">
      <c r="A113" s="272" t="s">
        <v>58</v>
      </c>
      <c r="B113" s="208"/>
      <c r="C113" s="256">
        <f>C111+C112</f>
        <v>198761.04</v>
      </c>
      <c r="D113" s="256">
        <f>D111+D112</f>
        <v>198761.04</v>
      </c>
    </row>
    <row r="114" spans="1:4" s="6" customFormat="1" ht="12.75">
      <c r="A114" s="255" t="s">
        <v>214</v>
      </c>
      <c r="B114" s="208" t="s">
        <v>170</v>
      </c>
      <c r="C114" s="256">
        <v>115509.6</v>
      </c>
      <c r="D114" s="256">
        <v>115509.6</v>
      </c>
    </row>
    <row r="115" spans="1:4" s="6" customFormat="1" ht="17.25" customHeight="1">
      <c r="A115" s="255" t="s">
        <v>214</v>
      </c>
      <c r="B115" s="208" t="s">
        <v>60</v>
      </c>
      <c r="C115" s="256">
        <v>2794.92</v>
      </c>
      <c r="D115" s="256">
        <v>2794.92</v>
      </c>
    </row>
    <row r="116" spans="1:4" s="6" customFormat="1" ht="18" customHeight="1">
      <c r="A116" s="272" t="s">
        <v>58</v>
      </c>
      <c r="B116" s="208"/>
      <c r="C116" s="256">
        <f>C114+C115</f>
        <v>118304.52</v>
      </c>
      <c r="D116" s="256">
        <f>D114+D115</f>
        <v>118304.52</v>
      </c>
    </row>
    <row r="117" spans="1:4" s="6" customFormat="1" ht="16.5" customHeight="1">
      <c r="A117" s="255" t="s">
        <v>215</v>
      </c>
      <c r="B117" s="208" t="s">
        <v>160</v>
      </c>
      <c r="C117" s="256">
        <v>189502.56</v>
      </c>
      <c r="D117" s="256">
        <v>189502.56</v>
      </c>
    </row>
    <row r="118" spans="1:4" s="6" customFormat="1" ht="18" customHeight="1">
      <c r="A118" s="255" t="s">
        <v>215</v>
      </c>
      <c r="B118" s="208" t="s">
        <v>60</v>
      </c>
      <c r="C118" s="256">
        <v>4557.4</v>
      </c>
      <c r="D118" s="256">
        <v>4557.4</v>
      </c>
    </row>
    <row r="119" spans="1:4" s="6" customFormat="1" ht="18.75" customHeight="1">
      <c r="A119" s="272" t="s">
        <v>58</v>
      </c>
      <c r="B119" s="208"/>
      <c r="C119" s="256">
        <f>C117+C118</f>
        <v>194059.96</v>
      </c>
      <c r="D119" s="256">
        <f>D117+D118</f>
        <v>194059.96</v>
      </c>
    </row>
    <row r="120" spans="1:4" s="6" customFormat="1" ht="18.75" customHeight="1">
      <c r="A120" s="255" t="s">
        <v>216</v>
      </c>
      <c r="B120" s="208" t="s">
        <v>160</v>
      </c>
      <c r="C120" s="256">
        <v>188600.24</v>
      </c>
      <c r="D120" s="256">
        <v>188600.24</v>
      </c>
    </row>
    <row r="121" spans="1:4" s="6" customFormat="1" ht="18.75" customHeight="1">
      <c r="A121" s="255" t="s">
        <v>216</v>
      </c>
      <c r="B121" s="208" t="s">
        <v>60</v>
      </c>
      <c r="C121" s="256">
        <v>4601.91</v>
      </c>
      <c r="D121" s="256">
        <v>4601.91</v>
      </c>
    </row>
    <row r="122" spans="1:4" s="6" customFormat="1" ht="15" customHeight="1">
      <c r="A122" s="272" t="s">
        <v>58</v>
      </c>
      <c r="B122" s="208"/>
      <c r="C122" s="256">
        <f>C120+C121</f>
        <v>193202.15</v>
      </c>
      <c r="D122" s="256">
        <f>D120+D121</f>
        <v>193202.15</v>
      </c>
    </row>
    <row r="123" spans="1:4" s="6" customFormat="1" ht="15" customHeight="1">
      <c r="A123" s="255" t="s">
        <v>217</v>
      </c>
      <c r="B123" s="208" t="s">
        <v>150</v>
      </c>
      <c r="C123" s="256">
        <v>192196.8</v>
      </c>
      <c r="D123" s="256">
        <v>192196.8</v>
      </c>
    </row>
    <row r="124" spans="1:4" s="6" customFormat="1" ht="15" customHeight="1">
      <c r="A124" s="255" t="s">
        <v>217</v>
      </c>
      <c r="B124" s="208" t="s">
        <v>60</v>
      </c>
      <c r="C124" s="256">
        <v>4629.66</v>
      </c>
      <c r="D124" s="256">
        <v>4629.66</v>
      </c>
    </row>
    <row r="125" spans="1:4" s="6" customFormat="1" ht="15" customHeight="1">
      <c r="A125" s="272" t="s">
        <v>58</v>
      </c>
      <c r="B125" s="208"/>
      <c r="C125" s="256">
        <f>C123+C124</f>
        <v>196826.46</v>
      </c>
      <c r="D125" s="256">
        <f>D123+D124</f>
        <v>196826.46</v>
      </c>
    </row>
    <row r="126" spans="1:4" s="6" customFormat="1" ht="15" customHeight="1">
      <c r="A126" s="255" t="s">
        <v>218</v>
      </c>
      <c r="B126" s="208" t="s">
        <v>160</v>
      </c>
      <c r="C126" s="256">
        <v>76215.76</v>
      </c>
      <c r="D126" s="256">
        <v>76215.76</v>
      </c>
    </row>
    <row r="127" spans="1:4" s="6" customFormat="1" ht="15" customHeight="1">
      <c r="A127" s="255" t="s">
        <v>218</v>
      </c>
      <c r="B127" s="208" t="s">
        <v>60</v>
      </c>
      <c r="C127" s="256">
        <v>1819.02</v>
      </c>
      <c r="D127" s="256">
        <v>1819.02</v>
      </c>
    </row>
    <row r="128" spans="1:4" s="6" customFormat="1" ht="15" customHeight="1">
      <c r="A128" s="272" t="s">
        <v>58</v>
      </c>
      <c r="B128" s="208"/>
      <c r="C128" s="256">
        <f>C126+C127</f>
        <v>78034.78</v>
      </c>
      <c r="D128" s="256">
        <f>D126+D127</f>
        <v>78034.78</v>
      </c>
    </row>
    <row r="129" spans="1:4" s="6" customFormat="1" ht="16.5" customHeight="1">
      <c r="A129" s="255" t="s">
        <v>219</v>
      </c>
      <c r="B129" s="208" t="s">
        <v>170</v>
      </c>
      <c r="C129" s="256">
        <v>191286.85</v>
      </c>
      <c r="D129" s="256">
        <v>191286.85</v>
      </c>
    </row>
    <row r="130" spans="1:4" s="6" customFormat="1" ht="16.5" customHeight="1">
      <c r="A130" s="255" t="s">
        <v>219</v>
      </c>
      <c r="B130" s="208" t="s">
        <v>60</v>
      </c>
      <c r="C130" s="256">
        <v>4759.68</v>
      </c>
      <c r="D130" s="256">
        <v>4759.68</v>
      </c>
    </row>
    <row r="131" spans="1:4" s="6" customFormat="1" ht="15" customHeight="1">
      <c r="A131" s="272" t="s">
        <v>58</v>
      </c>
      <c r="B131" s="208"/>
      <c r="C131" s="256">
        <f>C129+C130</f>
        <v>196046.53</v>
      </c>
      <c r="D131" s="256">
        <f>D129+D130</f>
        <v>196046.53</v>
      </c>
    </row>
    <row r="132" spans="1:4" s="6" customFormat="1" ht="18" customHeight="1">
      <c r="A132" s="255" t="s">
        <v>245</v>
      </c>
      <c r="B132" s="208" t="s">
        <v>150</v>
      </c>
      <c r="C132" s="256">
        <v>189680.4</v>
      </c>
      <c r="D132" s="256">
        <v>189680.4</v>
      </c>
    </row>
    <row r="133" spans="1:4" s="6" customFormat="1" ht="18" customHeight="1">
      <c r="A133" s="255" t="s">
        <v>245</v>
      </c>
      <c r="B133" s="208" t="s">
        <v>60</v>
      </c>
      <c r="C133" s="256">
        <v>4630.05</v>
      </c>
      <c r="D133" s="256">
        <v>4630.05</v>
      </c>
    </row>
    <row r="134" spans="1:4" s="6" customFormat="1" ht="18" customHeight="1">
      <c r="A134" s="272" t="s">
        <v>58</v>
      </c>
      <c r="B134" s="208"/>
      <c r="C134" s="256">
        <f>C132+C133</f>
        <v>194310.44999999998</v>
      </c>
      <c r="D134" s="256">
        <f>D132+D133</f>
        <v>194310.44999999998</v>
      </c>
    </row>
    <row r="135" spans="1:4" s="6" customFormat="1" ht="15" customHeight="1">
      <c r="A135" s="255" t="s">
        <v>246</v>
      </c>
      <c r="B135" s="208" t="s">
        <v>170</v>
      </c>
      <c r="C135" s="256">
        <v>47815.45</v>
      </c>
      <c r="D135" s="256">
        <v>47815.45</v>
      </c>
    </row>
    <row r="136" spans="1:4" s="6" customFormat="1" ht="18" customHeight="1">
      <c r="A136" s="255" t="s">
        <v>246</v>
      </c>
      <c r="B136" s="208" t="s">
        <v>60</v>
      </c>
      <c r="C136" s="256">
        <v>1189.76</v>
      </c>
      <c r="D136" s="256">
        <v>1189.76</v>
      </c>
    </row>
    <row r="137" spans="1:4" s="6" customFormat="1" ht="18" customHeight="1">
      <c r="A137" s="272" t="s">
        <v>58</v>
      </c>
      <c r="B137" s="208"/>
      <c r="C137" s="256">
        <f>C135+C136</f>
        <v>49005.21</v>
      </c>
      <c r="D137" s="256">
        <f>D135+D136</f>
        <v>49005.21</v>
      </c>
    </row>
    <row r="138" spans="1:4" s="6" customFormat="1" ht="18" customHeight="1">
      <c r="A138" s="279" t="s">
        <v>247</v>
      </c>
      <c r="B138" s="208" t="s">
        <v>150</v>
      </c>
      <c r="C138" s="256">
        <v>194895.6</v>
      </c>
      <c r="D138" s="256">
        <v>194895.6</v>
      </c>
    </row>
    <row r="139" spans="1:4" s="6" customFormat="1" ht="18" customHeight="1">
      <c r="A139" s="279" t="s">
        <v>247</v>
      </c>
      <c r="B139" s="208" t="s">
        <v>60</v>
      </c>
      <c r="C139" s="256">
        <v>4695</v>
      </c>
      <c r="D139" s="256">
        <v>4695</v>
      </c>
    </row>
    <row r="140" spans="1:4" s="6" customFormat="1" ht="18" customHeight="1">
      <c r="A140" s="272" t="s">
        <v>58</v>
      </c>
      <c r="B140" s="208"/>
      <c r="C140" s="256">
        <f>C138+C139</f>
        <v>199590.6</v>
      </c>
      <c r="D140" s="256">
        <f>D138+D139</f>
        <v>199590.6</v>
      </c>
    </row>
    <row r="141" spans="1:4" s="6" customFormat="1" ht="15" customHeight="1">
      <c r="A141" s="279" t="s">
        <v>248</v>
      </c>
      <c r="B141" s="208" t="s">
        <v>150</v>
      </c>
      <c r="C141" s="256">
        <v>193610.4</v>
      </c>
      <c r="D141" s="256">
        <v>193610.4</v>
      </c>
    </row>
    <row r="142" spans="1:4" s="6" customFormat="1" ht="12.75" customHeight="1">
      <c r="A142" s="279" t="s">
        <v>248</v>
      </c>
      <c r="B142" s="208" t="s">
        <v>60</v>
      </c>
      <c r="C142" s="256">
        <v>4674.18</v>
      </c>
      <c r="D142" s="256">
        <v>4674.18</v>
      </c>
    </row>
    <row r="143" spans="1:4" s="6" customFormat="1" ht="13.5" customHeight="1">
      <c r="A143" s="279" t="s">
        <v>248</v>
      </c>
      <c r="B143" s="208" t="s">
        <v>170</v>
      </c>
      <c r="C143" s="256">
        <v>111783.86</v>
      </c>
      <c r="D143" s="256">
        <v>111783.86</v>
      </c>
    </row>
    <row r="144" spans="1:4" s="6" customFormat="1" ht="15.75" customHeight="1">
      <c r="A144" s="279" t="s">
        <v>248</v>
      </c>
      <c r="B144" s="208" t="s">
        <v>60</v>
      </c>
      <c r="C144" s="256">
        <v>2780.33</v>
      </c>
      <c r="D144" s="256">
        <v>2780.33</v>
      </c>
    </row>
    <row r="145" spans="1:4" s="6" customFormat="1" ht="15" customHeight="1">
      <c r="A145" s="272" t="s">
        <v>58</v>
      </c>
      <c r="B145" s="208"/>
      <c r="C145" s="256">
        <f>C141+C142+C143+C144</f>
        <v>312848.77</v>
      </c>
      <c r="D145" s="256">
        <f>D141+D142+D143+D144</f>
        <v>312848.77</v>
      </c>
    </row>
    <row r="146" spans="1:4" s="6" customFormat="1" ht="18" customHeight="1">
      <c r="A146" s="255" t="s">
        <v>249</v>
      </c>
      <c r="B146" s="208" t="s">
        <v>119</v>
      </c>
      <c r="C146" s="256">
        <v>109288.28</v>
      </c>
      <c r="D146" s="256">
        <v>109288.28</v>
      </c>
    </row>
    <row r="147" spans="1:4" s="6" customFormat="1" ht="15.75" customHeight="1">
      <c r="A147" s="255" t="s">
        <v>249</v>
      </c>
      <c r="B147" s="208" t="s">
        <v>60</v>
      </c>
      <c r="C147" s="256">
        <v>2615.09</v>
      </c>
      <c r="D147" s="256">
        <v>2615.09</v>
      </c>
    </row>
    <row r="148" spans="1:4" s="6" customFormat="1" ht="18" customHeight="1">
      <c r="A148" s="272" t="s">
        <v>58</v>
      </c>
      <c r="B148" s="208"/>
      <c r="C148" s="256">
        <f>C146+C147</f>
        <v>111903.37</v>
      </c>
      <c r="D148" s="256">
        <f>D146+D147</f>
        <v>111903.37</v>
      </c>
    </row>
    <row r="149" spans="1:4" s="6" customFormat="1" ht="18" customHeight="1">
      <c r="A149" s="255" t="s">
        <v>269</v>
      </c>
      <c r="B149" s="208" t="s">
        <v>119</v>
      </c>
      <c r="C149" s="256">
        <v>195025.85</v>
      </c>
      <c r="D149" s="256">
        <v>195025.85</v>
      </c>
    </row>
    <row r="150" spans="1:4" s="6" customFormat="1" ht="18" customHeight="1">
      <c r="A150" s="255" t="s">
        <v>269</v>
      </c>
      <c r="B150" s="208" t="s">
        <v>60</v>
      </c>
      <c r="C150" s="256">
        <v>4691.77</v>
      </c>
      <c r="D150" s="256">
        <v>4691.77</v>
      </c>
    </row>
    <row r="151" spans="1:4" s="6" customFormat="1" ht="18" customHeight="1">
      <c r="A151" s="272" t="s">
        <v>58</v>
      </c>
      <c r="B151" s="208"/>
      <c r="C151" s="256">
        <f>C149+C150</f>
        <v>199717.62</v>
      </c>
      <c r="D151" s="256">
        <f>D149+D150</f>
        <v>199717.62</v>
      </c>
    </row>
    <row r="152" spans="1:4" s="6" customFormat="1" ht="18" customHeight="1">
      <c r="A152" s="279" t="s">
        <v>270</v>
      </c>
      <c r="B152" s="208" t="s">
        <v>170</v>
      </c>
      <c r="C152" s="256">
        <v>191841.41</v>
      </c>
      <c r="D152" s="256">
        <v>191841.41</v>
      </c>
    </row>
    <row r="153" spans="1:4" s="6" customFormat="1" ht="18" customHeight="1">
      <c r="A153" s="279" t="s">
        <v>270</v>
      </c>
      <c r="B153" s="208" t="s">
        <v>60</v>
      </c>
      <c r="C153" s="256">
        <v>4773.48</v>
      </c>
      <c r="D153" s="256">
        <v>4773.48</v>
      </c>
    </row>
    <row r="154" spans="1:4" s="6" customFormat="1" ht="18" customHeight="1">
      <c r="A154" s="272" t="s">
        <v>58</v>
      </c>
      <c r="B154" s="208"/>
      <c r="C154" s="256">
        <f>C152+C153</f>
        <v>196614.89</v>
      </c>
      <c r="D154" s="256">
        <f>D152+D153</f>
        <v>196614.89</v>
      </c>
    </row>
    <row r="155" spans="1:4" s="6" customFormat="1" ht="18" customHeight="1">
      <c r="A155" s="255" t="s">
        <v>271</v>
      </c>
      <c r="B155" s="208" t="s">
        <v>170</v>
      </c>
      <c r="C155" s="256">
        <v>187885.97</v>
      </c>
      <c r="D155" s="256">
        <v>187885.97</v>
      </c>
    </row>
    <row r="156" spans="1:4" s="6" customFormat="1" ht="18" customHeight="1">
      <c r="A156" s="255" t="s">
        <v>271</v>
      </c>
      <c r="B156" s="208" t="s">
        <v>60</v>
      </c>
      <c r="C156" s="256">
        <v>4675.05</v>
      </c>
      <c r="D156" s="256">
        <v>4675.05</v>
      </c>
    </row>
    <row r="157" spans="1:4" s="6" customFormat="1" ht="18" customHeight="1">
      <c r="A157" s="272" t="s">
        <v>58</v>
      </c>
      <c r="B157" s="208"/>
      <c r="C157" s="256">
        <f>C155+C156</f>
        <v>192561.02</v>
      </c>
      <c r="D157" s="256">
        <f>D155+D156</f>
        <v>192561.02</v>
      </c>
    </row>
    <row r="158" spans="1:4" s="6" customFormat="1" ht="31.5" customHeight="1">
      <c r="A158" s="255" t="s">
        <v>272</v>
      </c>
      <c r="B158" s="208" t="s">
        <v>154</v>
      </c>
      <c r="C158" s="256">
        <v>195190.8</v>
      </c>
      <c r="D158" s="256">
        <v>195190.8</v>
      </c>
    </row>
    <row r="159" spans="1:4" s="6" customFormat="1" ht="18" customHeight="1">
      <c r="A159" s="255" t="s">
        <v>272</v>
      </c>
      <c r="B159" s="208" t="s">
        <v>60</v>
      </c>
      <c r="C159" s="256">
        <v>4790.1</v>
      </c>
      <c r="D159" s="256">
        <v>4790.1</v>
      </c>
    </row>
    <row r="160" spans="1:4" s="6" customFormat="1" ht="18" customHeight="1">
      <c r="A160" s="272" t="s">
        <v>58</v>
      </c>
      <c r="B160" s="208"/>
      <c r="C160" s="256">
        <f>C158+C159</f>
        <v>199980.9</v>
      </c>
      <c r="D160" s="256">
        <f>D158+D159</f>
        <v>199980.9</v>
      </c>
    </row>
    <row r="161" spans="1:4" s="6" customFormat="1" ht="18" customHeight="1">
      <c r="A161" s="255" t="s">
        <v>221</v>
      </c>
      <c r="B161" s="76" t="s">
        <v>150</v>
      </c>
      <c r="C161" s="256">
        <v>194434.8</v>
      </c>
      <c r="D161" s="256">
        <v>194434.8</v>
      </c>
    </row>
    <row r="162" spans="1:4" s="6" customFormat="1" ht="18" customHeight="1">
      <c r="A162" s="255" t="s">
        <v>221</v>
      </c>
      <c r="B162" s="208" t="s">
        <v>60</v>
      </c>
      <c r="C162" s="256">
        <v>4699.32</v>
      </c>
      <c r="D162" s="256">
        <v>4699.32</v>
      </c>
    </row>
    <row r="163" spans="1:4" s="6" customFormat="1" ht="18" customHeight="1">
      <c r="A163" s="272" t="s">
        <v>58</v>
      </c>
      <c r="B163" s="280"/>
      <c r="C163" s="78">
        <f>C161+C162</f>
        <v>199134.12</v>
      </c>
      <c r="D163" s="78">
        <f>D161+D162</f>
        <v>199134.12</v>
      </c>
    </row>
    <row r="164" spans="1:4" s="6" customFormat="1" ht="18" customHeight="1">
      <c r="A164" s="255" t="s">
        <v>291</v>
      </c>
      <c r="B164" s="76" t="s">
        <v>150</v>
      </c>
      <c r="C164" s="78">
        <v>171826.8</v>
      </c>
      <c r="D164" s="78">
        <v>171826.8</v>
      </c>
    </row>
    <row r="165" spans="1:4" s="6" customFormat="1" ht="18" customHeight="1">
      <c r="A165" s="255" t="s">
        <v>291</v>
      </c>
      <c r="B165" s="208" t="s">
        <v>60</v>
      </c>
      <c r="C165" s="78">
        <v>4144.02</v>
      </c>
      <c r="D165" s="78">
        <v>4144.02</v>
      </c>
    </row>
    <row r="166" spans="1:4" s="6" customFormat="1" ht="18" customHeight="1">
      <c r="A166" s="272" t="s">
        <v>58</v>
      </c>
      <c r="B166" s="280"/>
      <c r="C166" s="78">
        <f>C164+C165</f>
        <v>175970.81999999998</v>
      </c>
      <c r="D166" s="78">
        <f>D164+D165</f>
        <v>175970.81999999998</v>
      </c>
    </row>
    <row r="167" spans="1:4" s="6" customFormat="1" ht="18" customHeight="1">
      <c r="A167" s="255" t="s">
        <v>292</v>
      </c>
      <c r="B167" s="76" t="s">
        <v>150</v>
      </c>
      <c r="C167" s="78">
        <v>194370</v>
      </c>
      <c r="D167" s="78">
        <v>194370</v>
      </c>
    </row>
    <row r="168" spans="1:4" s="6" customFormat="1" ht="18" customHeight="1">
      <c r="A168" s="255" t="s">
        <v>292</v>
      </c>
      <c r="B168" s="208" t="s">
        <v>60</v>
      </c>
      <c r="C168" s="78">
        <v>4680.03</v>
      </c>
      <c r="D168" s="78">
        <v>4680.03</v>
      </c>
    </row>
    <row r="169" spans="1:4" s="6" customFormat="1" ht="18" customHeight="1">
      <c r="A169" s="272" t="s">
        <v>58</v>
      </c>
      <c r="B169" s="280"/>
      <c r="C169" s="78">
        <f>C167+C168</f>
        <v>199050.03</v>
      </c>
      <c r="D169" s="78">
        <f>D167+D168</f>
        <v>199050.03</v>
      </c>
    </row>
    <row r="170" spans="1:4" s="6" customFormat="1" ht="15" customHeight="1">
      <c r="A170" s="255" t="s">
        <v>293</v>
      </c>
      <c r="B170" s="208" t="s">
        <v>170</v>
      </c>
      <c r="C170" s="78">
        <v>195030.2</v>
      </c>
      <c r="D170" s="78">
        <v>195030.2</v>
      </c>
    </row>
    <row r="171" spans="1:4" s="6" customFormat="1" ht="15.75" customHeight="1">
      <c r="A171" s="255" t="s">
        <v>293</v>
      </c>
      <c r="B171" s="208" t="s">
        <v>60</v>
      </c>
      <c r="C171" s="78">
        <v>4840.41</v>
      </c>
      <c r="D171" s="78">
        <v>4840.41</v>
      </c>
    </row>
    <row r="172" spans="1:4" s="6" customFormat="1" ht="18" customHeight="1">
      <c r="A172" s="272" t="s">
        <v>58</v>
      </c>
      <c r="B172" s="280"/>
      <c r="C172" s="78">
        <f>C170+C171</f>
        <v>199870.61000000002</v>
      </c>
      <c r="D172" s="78">
        <f>D170+D171</f>
        <v>199870.61000000002</v>
      </c>
    </row>
    <row r="173" spans="1:4" s="6" customFormat="1" ht="18" customHeight="1">
      <c r="A173" s="255" t="s">
        <v>294</v>
      </c>
      <c r="B173" s="208" t="s">
        <v>60</v>
      </c>
      <c r="C173" s="78">
        <v>4759.4</v>
      </c>
      <c r="D173" s="78">
        <v>4759.4</v>
      </c>
    </row>
    <row r="174" spans="1:4" s="6" customFormat="1" ht="18" customHeight="1">
      <c r="A174" s="255" t="s">
        <v>294</v>
      </c>
      <c r="B174" s="208" t="s">
        <v>170</v>
      </c>
      <c r="C174" s="78">
        <v>191275.43</v>
      </c>
      <c r="D174" s="78">
        <v>191275.43</v>
      </c>
    </row>
    <row r="175" spans="1:4" s="6" customFormat="1" ht="18" customHeight="1">
      <c r="A175" s="272" t="s">
        <v>58</v>
      </c>
      <c r="B175" s="280"/>
      <c r="C175" s="78">
        <f>C173+C174</f>
        <v>196034.83</v>
      </c>
      <c r="D175" s="78">
        <f>D173+D174</f>
        <v>196034.83</v>
      </c>
    </row>
    <row r="176" spans="1:4" s="6" customFormat="1" ht="18" customHeight="1">
      <c r="A176" s="255" t="s">
        <v>295</v>
      </c>
      <c r="B176" s="208" t="s">
        <v>170</v>
      </c>
      <c r="C176" s="78">
        <v>194329.25</v>
      </c>
      <c r="D176" s="78">
        <v>194329.25</v>
      </c>
    </row>
    <row r="177" spans="1:4" s="6" customFormat="1" ht="18" customHeight="1">
      <c r="A177" s="255" t="s">
        <v>295</v>
      </c>
      <c r="B177" s="208" t="s">
        <v>60</v>
      </c>
      <c r="C177" s="78">
        <v>4833.13</v>
      </c>
      <c r="D177" s="78">
        <v>4833.13</v>
      </c>
    </row>
    <row r="178" spans="1:4" s="6" customFormat="1" ht="18" customHeight="1">
      <c r="A178" s="272" t="s">
        <v>58</v>
      </c>
      <c r="B178" s="208"/>
      <c r="C178" s="78">
        <f>C176+C177</f>
        <v>199162.38</v>
      </c>
      <c r="D178" s="78">
        <f>D176+D177</f>
        <v>199162.38</v>
      </c>
    </row>
    <row r="179" spans="1:4" s="6" customFormat="1" ht="18" customHeight="1">
      <c r="A179" s="255" t="s">
        <v>302</v>
      </c>
      <c r="B179" s="208" t="s">
        <v>150</v>
      </c>
      <c r="C179" s="78">
        <v>171049.2</v>
      </c>
      <c r="D179" s="78">
        <v>171049.2</v>
      </c>
    </row>
    <row r="180" spans="1:4" s="6" customFormat="1" ht="18" customHeight="1">
      <c r="A180" s="255" t="s">
        <v>302</v>
      </c>
      <c r="B180" s="208" t="s">
        <v>60</v>
      </c>
      <c r="C180" s="78">
        <v>4119.42</v>
      </c>
      <c r="D180" s="78">
        <v>4119.42</v>
      </c>
    </row>
    <row r="181" spans="1:4" s="6" customFormat="1" ht="18" customHeight="1">
      <c r="A181" s="272" t="s">
        <v>58</v>
      </c>
      <c r="B181" s="208"/>
      <c r="C181" s="78">
        <f>C179+C180</f>
        <v>175168.62000000002</v>
      </c>
      <c r="D181" s="78">
        <f>D179+D180</f>
        <v>175168.62000000002</v>
      </c>
    </row>
    <row r="182" spans="1:4" s="6" customFormat="1" ht="18" customHeight="1">
      <c r="A182" s="255" t="s">
        <v>303</v>
      </c>
      <c r="B182" s="208" t="s">
        <v>150</v>
      </c>
      <c r="C182" s="78">
        <v>159044.4</v>
      </c>
      <c r="D182" s="78">
        <v>159044.4</v>
      </c>
    </row>
    <row r="183" spans="1:4" s="6" customFormat="1" ht="18" customHeight="1">
      <c r="A183" s="255" t="s">
        <v>303</v>
      </c>
      <c r="B183" s="208" t="s">
        <v>60</v>
      </c>
      <c r="C183" s="78">
        <v>3634.35</v>
      </c>
      <c r="D183" s="78">
        <v>3634.35</v>
      </c>
    </row>
    <row r="184" spans="1:4" s="6" customFormat="1" ht="18" customHeight="1">
      <c r="A184" s="272" t="s">
        <v>58</v>
      </c>
      <c r="B184" s="208"/>
      <c r="C184" s="78">
        <f>C182+C183</f>
        <v>162678.75</v>
      </c>
      <c r="D184" s="78">
        <f>D182+D183</f>
        <v>162678.75</v>
      </c>
    </row>
    <row r="185" spans="1:4" s="6" customFormat="1" ht="18" customHeight="1">
      <c r="A185" s="255" t="s">
        <v>304</v>
      </c>
      <c r="B185" s="208" t="s">
        <v>150</v>
      </c>
      <c r="C185" s="78">
        <v>195006</v>
      </c>
      <c r="D185" s="78">
        <v>195006</v>
      </c>
    </row>
    <row r="186" spans="1:4" s="6" customFormat="1" ht="18" customHeight="1">
      <c r="A186" s="255" t="s">
        <v>304</v>
      </c>
      <c r="B186" s="208" t="s">
        <v>60</v>
      </c>
      <c r="C186" s="78">
        <v>4782.27</v>
      </c>
      <c r="D186" s="78">
        <v>4782.27</v>
      </c>
    </row>
    <row r="187" spans="1:4" s="6" customFormat="1" ht="18" customHeight="1">
      <c r="A187" s="272" t="s">
        <v>58</v>
      </c>
      <c r="B187" s="208"/>
      <c r="C187" s="78">
        <f>C185+C186</f>
        <v>199788.27</v>
      </c>
      <c r="D187" s="78">
        <f>D185+D186</f>
        <v>199788.27</v>
      </c>
    </row>
    <row r="188" spans="1:4" s="6" customFormat="1" ht="18" customHeight="1">
      <c r="A188" s="255" t="s">
        <v>305</v>
      </c>
      <c r="B188" s="208" t="s">
        <v>150</v>
      </c>
      <c r="C188" s="78">
        <v>78331.2</v>
      </c>
      <c r="D188" s="78">
        <v>78331.2</v>
      </c>
    </row>
    <row r="189" spans="1:4" s="6" customFormat="1" ht="18" customHeight="1">
      <c r="A189" s="255" t="s">
        <v>305</v>
      </c>
      <c r="B189" s="208" t="s">
        <v>60</v>
      </c>
      <c r="C189" s="78">
        <v>1855.77</v>
      </c>
      <c r="D189" s="78">
        <v>1855.77</v>
      </c>
    </row>
    <row r="190" spans="1:4" s="6" customFormat="1" ht="18" customHeight="1">
      <c r="A190" s="272" t="s">
        <v>58</v>
      </c>
      <c r="B190" s="76"/>
      <c r="C190" s="78">
        <f>C188+C189</f>
        <v>80186.97</v>
      </c>
      <c r="D190" s="78">
        <f>D188+D189</f>
        <v>80186.97</v>
      </c>
    </row>
    <row r="191" spans="1:4" s="6" customFormat="1" ht="15" customHeight="1">
      <c r="A191" s="281" t="s">
        <v>306</v>
      </c>
      <c r="B191" s="208" t="s">
        <v>307</v>
      </c>
      <c r="C191" s="78">
        <f>96618+67180</f>
        <v>163798</v>
      </c>
      <c r="D191" s="78">
        <f>96618+67180</f>
        <v>163798</v>
      </c>
    </row>
    <row r="192" spans="1:4" s="6" customFormat="1" ht="18" customHeight="1">
      <c r="A192" s="281" t="s">
        <v>306</v>
      </c>
      <c r="B192" s="208" t="s">
        <v>60</v>
      </c>
      <c r="C192" s="78">
        <f>2541.54+1785.75</f>
        <v>4327.29</v>
      </c>
      <c r="D192" s="78">
        <f>2541.54+1785.75</f>
        <v>4327.29</v>
      </c>
    </row>
    <row r="193" spans="1:4" s="6" customFormat="1" ht="18" customHeight="1">
      <c r="A193" s="272" t="s">
        <v>58</v>
      </c>
      <c r="B193" s="208"/>
      <c r="C193" s="78">
        <f>C191+C192</f>
        <v>168125.29</v>
      </c>
      <c r="D193" s="78">
        <f>D191+D192</f>
        <v>168125.29</v>
      </c>
    </row>
    <row r="194" spans="1:4" s="6" customFormat="1" ht="19.5" customHeight="1">
      <c r="A194" s="333" t="s">
        <v>308</v>
      </c>
      <c r="B194" s="208" t="s">
        <v>241</v>
      </c>
      <c r="C194" s="78">
        <v>191438.92</v>
      </c>
      <c r="D194" s="78">
        <v>191438.92</v>
      </c>
    </row>
    <row r="195" spans="1:4" s="6" customFormat="1" ht="18" customHeight="1" hidden="1" thickBot="1">
      <c r="A195" s="334"/>
      <c r="B195" s="208"/>
      <c r="C195" s="78"/>
      <c r="D195" s="78"/>
    </row>
    <row r="196" spans="1:4" s="6" customFormat="1" ht="17.25" customHeight="1">
      <c r="A196" s="272" t="s">
        <v>58</v>
      </c>
      <c r="B196" s="208"/>
      <c r="C196" s="78">
        <f>C194</f>
        <v>191438.92</v>
      </c>
      <c r="D196" s="78">
        <f>D194</f>
        <v>191438.92</v>
      </c>
    </row>
    <row r="197" spans="1:4" s="6" customFormat="1" ht="18" customHeight="1">
      <c r="A197" s="255" t="s">
        <v>152</v>
      </c>
      <c r="B197" s="208" t="s">
        <v>241</v>
      </c>
      <c r="C197" s="78">
        <v>194710.97</v>
      </c>
      <c r="D197" s="78">
        <v>194710.97</v>
      </c>
    </row>
    <row r="198" spans="1:4" s="6" customFormat="1" ht="18" customHeight="1">
      <c r="A198" s="255" t="s">
        <v>152</v>
      </c>
      <c r="B198" s="208" t="s">
        <v>60</v>
      </c>
      <c r="C198" s="78">
        <v>4842.14</v>
      </c>
      <c r="D198" s="78">
        <v>4842.14</v>
      </c>
    </row>
    <row r="199" spans="1:4" s="6" customFormat="1" ht="13.5" customHeight="1">
      <c r="A199" s="272"/>
      <c r="B199" s="208"/>
      <c r="C199" s="78">
        <f>C197+C198</f>
        <v>199553.11000000002</v>
      </c>
      <c r="D199" s="78">
        <f>D197+D198</f>
        <v>199553.11000000002</v>
      </c>
    </row>
    <row r="200" spans="1:4" s="6" customFormat="1" ht="18" customHeight="1">
      <c r="A200" s="255" t="s">
        <v>310</v>
      </c>
      <c r="B200" s="208" t="s">
        <v>241</v>
      </c>
      <c r="C200" s="78">
        <v>194165.52</v>
      </c>
      <c r="D200" s="78">
        <v>194165.52</v>
      </c>
    </row>
    <row r="201" spans="1:4" s="6" customFormat="1" ht="18" customHeight="1">
      <c r="A201" s="255" t="s">
        <v>310</v>
      </c>
      <c r="B201" s="208" t="s">
        <v>60</v>
      </c>
      <c r="C201" s="78">
        <v>4828.54</v>
      </c>
      <c r="D201" s="78">
        <v>4828.54</v>
      </c>
    </row>
    <row r="202" spans="1:4" s="6" customFormat="1" ht="18" customHeight="1">
      <c r="A202" s="272" t="s">
        <v>58</v>
      </c>
      <c r="B202" s="208"/>
      <c r="C202" s="78">
        <f>C200+C201</f>
        <v>198994.06</v>
      </c>
      <c r="D202" s="78">
        <f>D200+D201</f>
        <v>198994.06</v>
      </c>
    </row>
    <row r="203" spans="1:4" s="6" customFormat="1" ht="18" customHeight="1">
      <c r="A203" s="255" t="s">
        <v>311</v>
      </c>
      <c r="B203" s="208" t="s">
        <v>312</v>
      </c>
      <c r="C203" s="78">
        <v>52970.4</v>
      </c>
      <c r="D203" s="78">
        <v>52970.4</v>
      </c>
    </row>
    <row r="204" spans="1:4" s="6" customFormat="1" ht="18" customHeight="1">
      <c r="A204" s="255" t="s">
        <v>311</v>
      </c>
      <c r="B204" s="208" t="s">
        <v>60</v>
      </c>
      <c r="C204" s="78">
        <v>1219.49</v>
      </c>
      <c r="D204" s="78">
        <v>1219.49</v>
      </c>
    </row>
    <row r="205" spans="1:4" s="6" customFormat="1" ht="18" customHeight="1">
      <c r="A205" s="272" t="s">
        <v>58</v>
      </c>
      <c r="B205" s="208"/>
      <c r="C205" s="78">
        <f>C203+C204</f>
        <v>54189.89</v>
      </c>
      <c r="D205" s="78">
        <f>D203+D204</f>
        <v>54189.89</v>
      </c>
    </row>
    <row r="206" spans="1:4" s="6" customFormat="1" ht="14.25" customHeight="1">
      <c r="A206" s="255" t="s">
        <v>313</v>
      </c>
      <c r="B206" s="208" t="s">
        <v>312</v>
      </c>
      <c r="C206" s="78">
        <v>193071.6</v>
      </c>
      <c r="D206" s="78">
        <v>193071.6</v>
      </c>
    </row>
    <row r="207" spans="1:4" s="6" customFormat="1" ht="15" customHeight="1">
      <c r="A207" s="255" t="s">
        <v>313</v>
      </c>
      <c r="B207" s="208" t="s">
        <v>60</v>
      </c>
      <c r="C207" s="78">
        <v>4649.49</v>
      </c>
      <c r="D207" s="78">
        <v>4649.49</v>
      </c>
    </row>
    <row r="208" spans="1:4" s="6" customFormat="1" ht="12.75" customHeight="1">
      <c r="A208" s="272" t="s">
        <v>58</v>
      </c>
      <c r="B208" s="208"/>
      <c r="C208" s="78">
        <f>C206+C207</f>
        <v>197721.09</v>
      </c>
      <c r="D208" s="78">
        <f>D206+D207</f>
        <v>197721.09</v>
      </c>
    </row>
    <row r="209" spans="1:4" s="6" customFormat="1" ht="18" customHeight="1">
      <c r="A209" s="255" t="s">
        <v>314</v>
      </c>
      <c r="B209" s="208" t="s">
        <v>315</v>
      </c>
      <c r="C209" s="78">
        <v>85974</v>
      </c>
      <c r="D209" s="78">
        <v>85974</v>
      </c>
    </row>
    <row r="210" spans="1:4" s="6" customFormat="1" ht="18" customHeight="1">
      <c r="A210" s="255" t="s">
        <v>314</v>
      </c>
      <c r="B210" s="208" t="s">
        <v>399</v>
      </c>
      <c r="C210" s="78">
        <v>108937</v>
      </c>
      <c r="D210" s="78">
        <v>108937</v>
      </c>
    </row>
    <row r="211" spans="1:4" s="6" customFormat="1" ht="12.75" customHeight="1">
      <c r="A211" s="255" t="s">
        <v>314</v>
      </c>
      <c r="B211" s="208" t="s">
        <v>60</v>
      </c>
      <c r="C211" s="78">
        <f>2372.31+2877.51</f>
        <v>5249.82</v>
      </c>
      <c r="D211" s="78">
        <f>2372.31+2877.51</f>
        <v>5249.82</v>
      </c>
    </row>
    <row r="212" spans="1:4" s="6" customFormat="1" ht="15.75" customHeight="1">
      <c r="A212" s="272" t="s">
        <v>58</v>
      </c>
      <c r="B212" s="208"/>
      <c r="C212" s="78">
        <f>C209+C211+C210</f>
        <v>200160.82</v>
      </c>
      <c r="D212" s="78">
        <f>D209+D211+D210</f>
        <v>200160.82</v>
      </c>
    </row>
    <row r="213" spans="1:4" s="6" customFormat="1" ht="15.75" customHeight="1">
      <c r="A213" s="255" t="s">
        <v>390</v>
      </c>
      <c r="B213" s="208" t="s">
        <v>241</v>
      </c>
      <c r="C213" s="78">
        <v>189644.57</v>
      </c>
      <c r="D213" s="78">
        <v>189644.57</v>
      </c>
    </row>
    <row r="214" spans="1:4" s="6" customFormat="1" ht="15.75" customHeight="1">
      <c r="A214" s="255" t="s">
        <v>390</v>
      </c>
      <c r="B214" s="208" t="s">
        <v>60</v>
      </c>
      <c r="C214" s="78">
        <v>4723.19</v>
      </c>
      <c r="D214" s="78">
        <v>4723.19</v>
      </c>
    </row>
    <row r="215" spans="1:4" s="6" customFormat="1" ht="15.75" customHeight="1">
      <c r="A215" s="272" t="s">
        <v>58</v>
      </c>
      <c r="B215" s="208"/>
      <c r="C215" s="78">
        <f>C213+C214</f>
        <v>194367.76</v>
      </c>
      <c r="D215" s="78">
        <f>D213+D214</f>
        <v>194367.76</v>
      </c>
    </row>
    <row r="216" spans="1:4" s="6" customFormat="1" ht="15.75" customHeight="1">
      <c r="A216" s="255" t="s">
        <v>391</v>
      </c>
      <c r="B216" s="208" t="s">
        <v>241</v>
      </c>
      <c r="C216" s="78">
        <v>129919.79</v>
      </c>
      <c r="D216" s="78">
        <v>129919.79</v>
      </c>
    </row>
    <row r="217" spans="1:4" s="6" customFormat="1" ht="15.75" customHeight="1">
      <c r="A217" s="255" t="s">
        <v>391</v>
      </c>
      <c r="B217" s="208" t="s">
        <v>60</v>
      </c>
      <c r="C217" s="78">
        <v>3224.11</v>
      </c>
      <c r="D217" s="78">
        <v>3224.11</v>
      </c>
    </row>
    <row r="218" spans="1:4" s="6" customFormat="1" ht="15.75" customHeight="1">
      <c r="A218" s="272" t="s">
        <v>58</v>
      </c>
      <c r="B218" s="208"/>
      <c r="C218" s="78">
        <f>C216+C217</f>
        <v>133143.9</v>
      </c>
      <c r="D218" s="78">
        <f>D216+D217</f>
        <v>133143.9</v>
      </c>
    </row>
    <row r="219" spans="1:4" s="6" customFormat="1" ht="15.75" customHeight="1">
      <c r="A219" s="279" t="s">
        <v>392</v>
      </c>
      <c r="B219" s="208" t="s">
        <v>241</v>
      </c>
      <c r="C219" s="78">
        <v>182832.16</v>
      </c>
      <c r="D219" s="78">
        <v>182832.16</v>
      </c>
    </row>
    <row r="220" spans="1:4" s="6" customFormat="1" ht="15.75" customHeight="1">
      <c r="A220" s="279" t="s">
        <v>392</v>
      </c>
      <c r="B220" s="208" t="s">
        <v>60</v>
      </c>
      <c r="C220" s="78">
        <v>4549.31</v>
      </c>
      <c r="D220" s="78">
        <v>4549.31</v>
      </c>
    </row>
    <row r="221" spans="1:4" s="6" customFormat="1" ht="15.75" customHeight="1">
      <c r="A221" s="272" t="s">
        <v>58</v>
      </c>
      <c r="B221" s="208"/>
      <c r="C221" s="78">
        <f>C219+C220</f>
        <v>187381.47</v>
      </c>
      <c r="D221" s="78">
        <f>D219+D220</f>
        <v>187381.47</v>
      </c>
    </row>
    <row r="222" spans="1:4" s="6" customFormat="1" ht="15.75" customHeight="1">
      <c r="A222" s="279" t="s">
        <v>112</v>
      </c>
      <c r="B222" s="208" t="s">
        <v>241</v>
      </c>
      <c r="C222" s="78">
        <v>195145.51</v>
      </c>
      <c r="D222" s="78">
        <v>195145.51</v>
      </c>
    </row>
    <row r="223" spans="1:4" s="6" customFormat="1" ht="15.75" customHeight="1">
      <c r="A223" s="279" t="s">
        <v>112</v>
      </c>
      <c r="B223" s="208" t="s">
        <v>60</v>
      </c>
      <c r="C223" s="78">
        <v>4854.48</v>
      </c>
      <c r="D223" s="78">
        <v>4854.48</v>
      </c>
    </row>
    <row r="224" spans="1:4" s="6" customFormat="1" ht="15.75" customHeight="1">
      <c r="A224" s="272" t="s">
        <v>58</v>
      </c>
      <c r="B224" s="208"/>
      <c r="C224" s="78">
        <f>C222+C223</f>
        <v>199999.99000000002</v>
      </c>
      <c r="D224" s="78">
        <f>D222+D223</f>
        <v>199999.99000000002</v>
      </c>
    </row>
    <row r="225" spans="1:4" s="6" customFormat="1" ht="22.5" customHeight="1">
      <c r="A225" s="279" t="s">
        <v>393</v>
      </c>
      <c r="B225" s="208" t="s">
        <v>394</v>
      </c>
      <c r="C225" s="78">
        <v>58548</v>
      </c>
      <c r="D225" s="78">
        <v>58548</v>
      </c>
    </row>
    <row r="226" spans="1:4" s="6" customFormat="1" ht="15.75" customHeight="1">
      <c r="A226" s="279" t="s">
        <v>393</v>
      </c>
      <c r="B226" s="208" t="s">
        <v>60</v>
      </c>
      <c r="C226" s="78">
        <v>1449.12</v>
      </c>
      <c r="D226" s="78">
        <v>1449.12</v>
      </c>
    </row>
    <row r="227" spans="1:4" s="6" customFormat="1" ht="15.75" customHeight="1">
      <c r="A227" s="272" t="s">
        <v>58</v>
      </c>
      <c r="B227" s="208"/>
      <c r="C227" s="78">
        <f>C225+C226</f>
        <v>59997.12</v>
      </c>
      <c r="D227" s="78">
        <f>D225+D226</f>
        <v>59997.12</v>
      </c>
    </row>
    <row r="228" spans="1:4" s="6" customFormat="1" ht="15.75" customHeight="1">
      <c r="A228" s="279" t="s">
        <v>395</v>
      </c>
      <c r="B228" s="208" t="s">
        <v>312</v>
      </c>
      <c r="C228" s="78">
        <v>194582.4</v>
      </c>
      <c r="D228" s="78">
        <v>194582.4</v>
      </c>
    </row>
    <row r="229" spans="1:4" s="6" customFormat="1" ht="15.75" customHeight="1">
      <c r="A229" s="279" t="s">
        <v>395</v>
      </c>
      <c r="B229" s="208" t="s">
        <v>60</v>
      </c>
      <c r="C229" s="78">
        <v>4706.58</v>
      </c>
      <c r="D229" s="78">
        <v>4706.58</v>
      </c>
    </row>
    <row r="230" spans="1:4" s="6" customFormat="1" ht="15.75" customHeight="1">
      <c r="A230" s="272" t="s">
        <v>58</v>
      </c>
      <c r="B230" s="208"/>
      <c r="C230" s="78">
        <f>C228+C229</f>
        <v>199288.97999999998</v>
      </c>
      <c r="D230" s="78">
        <f>D228+D229</f>
        <v>199288.97999999998</v>
      </c>
    </row>
    <row r="231" spans="1:4" s="6" customFormat="1" ht="15.75" customHeight="1">
      <c r="A231" s="255" t="s">
        <v>396</v>
      </c>
      <c r="B231" s="208" t="s">
        <v>312</v>
      </c>
      <c r="C231" s="78">
        <v>195267.6</v>
      </c>
      <c r="D231" s="78">
        <v>195267.6</v>
      </c>
    </row>
    <row r="232" spans="1:4" s="6" customFormat="1" ht="15.75" customHeight="1">
      <c r="A232" s="255" t="s">
        <v>396</v>
      </c>
      <c r="B232" s="208" t="s">
        <v>60</v>
      </c>
      <c r="C232" s="78">
        <v>4715.61</v>
      </c>
      <c r="D232" s="78">
        <v>4715.61</v>
      </c>
    </row>
    <row r="233" spans="1:4" s="6" customFormat="1" ht="15.75" customHeight="1">
      <c r="A233" s="272" t="s">
        <v>58</v>
      </c>
      <c r="B233" s="208"/>
      <c r="C233" s="78">
        <f>C231+C232</f>
        <v>199983.21</v>
      </c>
      <c r="D233" s="78">
        <f>D231+D232</f>
        <v>199983.21</v>
      </c>
    </row>
    <row r="234" spans="1:4" s="6" customFormat="1" ht="15.75" customHeight="1">
      <c r="A234" s="255" t="s">
        <v>397</v>
      </c>
      <c r="B234" s="208" t="s">
        <v>312</v>
      </c>
      <c r="C234" s="78">
        <v>165276</v>
      </c>
      <c r="D234" s="78">
        <v>165276</v>
      </c>
    </row>
    <row r="235" spans="1:4" s="6" customFormat="1" ht="15.75" customHeight="1">
      <c r="A235" s="255" t="s">
        <v>397</v>
      </c>
      <c r="B235" s="208" t="s">
        <v>60</v>
      </c>
      <c r="C235" s="78">
        <v>3984.75</v>
      </c>
      <c r="D235" s="78">
        <v>3984.75</v>
      </c>
    </row>
    <row r="236" spans="1:4" s="6" customFormat="1" ht="15.75" customHeight="1">
      <c r="A236" s="272" t="s">
        <v>58</v>
      </c>
      <c r="B236" s="208"/>
      <c r="C236" s="78">
        <f>C234+C235</f>
        <v>169260.75</v>
      </c>
      <c r="D236" s="78">
        <f>D234+D235</f>
        <v>169260.75</v>
      </c>
    </row>
    <row r="237" spans="1:4" s="6" customFormat="1" ht="15.75" customHeight="1">
      <c r="A237" s="255" t="s">
        <v>398</v>
      </c>
      <c r="B237" s="208" t="s">
        <v>160</v>
      </c>
      <c r="C237" s="78">
        <v>190127.36</v>
      </c>
      <c r="D237" s="78">
        <v>190127.36</v>
      </c>
    </row>
    <row r="238" spans="1:4" s="6" customFormat="1" ht="15.75" customHeight="1">
      <c r="A238" s="255" t="s">
        <v>398</v>
      </c>
      <c r="B238" s="208" t="s">
        <v>60</v>
      </c>
      <c r="C238" s="78">
        <v>4714.65</v>
      </c>
      <c r="D238" s="78">
        <v>4714.65</v>
      </c>
    </row>
    <row r="239" spans="1:4" s="6" customFormat="1" ht="15.75" customHeight="1">
      <c r="A239" s="272" t="s">
        <v>58</v>
      </c>
      <c r="B239" s="208"/>
      <c r="C239" s="78">
        <f>C237+C238</f>
        <v>194842.00999999998</v>
      </c>
      <c r="D239" s="78">
        <f>D237+D238</f>
        <v>194842.00999999998</v>
      </c>
    </row>
    <row r="240" spans="1:4" s="6" customFormat="1" ht="15.75" customHeight="1">
      <c r="A240" s="255" t="s">
        <v>400</v>
      </c>
      <c r="B240" s="208" t="s">
        <v>241</v>
      </c>
      <c r="C240" s="78">
        <v>194327.72</v>
      </c>
      <c r="D240" s="78">
        <v>194327.72</v>
      </c>
    </row>
    <row r="241" spans="1:4" s="6" customFormat="1" ht="15.75" customHeight="1">
      <c r="A241" s="255" t="s">
        <v>400</v>
      </c>
      <c r="B241" s="208" t="s">
        <v>60</v>
      </c>
      <c r="C241" s="78">
        <v>4494.34</v>
      </c>
      <c r="D241" s="78">
        <v>4494.34</v>
      </c>
    </row>
    <row r="242" spans="1:4" s="6" customFormat="1" ht="15.75" customHeight="1">
      <c r="A242" s="272" t="s">
        <v>58</v>
      </c>
      <c r="B242" s="208"/>
      <c r="C242" s="78">
        <f>C240+C241</f>
        <v>198822.06</v>
      </c>
      <c r="D242" s="78">
        <f>D240+D241</f>
        <v>198822.06</v>
      </c>
    </row>
    <row r="243" spans="1:4" s="6" customFormat="1" ht="15.75" customHeight="1">
      <c r="A243" s="279" t="s">
        <v>401</v>
      </c>
      <c r="B243" s="208" t="s">
        <v>312</v>
      </c>
      <c r="C243" s="78">
        <v>194566.8</v>
      </c>
      <c r="D243" s="78">
        <v>194566.8</v>
      </c>
    </row>
    <row r="244" spans="1:4" s="6" customFormat="1" ht="15.75" customHeight="1">
      <c r="A244" s="279" t="s">
        <v>401</v>
      </c>
      <c r="B244" s="208" t="s">
        <v>60</v>
      </c>
      <c r="C244" s="78">
        <v>4701.36</v>
      </c>
      <c r="D244" s="78">
        <v>4701.36</v>
      </c>
    </row>
    <row r="245" spans="1:4" s="6" customFormat="1" ht="15.75" customHeight="1">
      <c r="A245" s="272" t="s">
        <v>58</v>
      </c>
      <c r="B245" s="208"/>
      <c r="C245" s="78">
        <f>C243+C244</f>
        <v>199268.15999999997</v>
      </c>
      <c r="D245" s="78">
        <f>D243+D244</f>
        <v>199268.15999999997</v>
      </c>
    </row>
    <row r="246" spans="1:4" s="6" customFormat="1" ht="15.75" customHeight="1">
      <c r="A246" s="279" t="s">
        <v>402</v>
      </c>
      <c r="B246" s="208" t="s">
        <v>312</v>
      </c>
      <c r="C246" s="78">
        <v>195066</v>
      </c>
      <c r="D246" s="78">
        <v>195066</v>
      </c>
    </row>
    <row r="247" spans="1:4" s="6" customFormat="1" ht="15.75" customHeight="1">
      <c r="A247" s="279" t="s">
        <v>402</v>
      </c>
      <c r="B247" s="208" t="s">
        <v>60</v>
      </c>
      <c r="C247" s="78">
        <v>4715.28</v>
      </c>
      <c r="D247" s="78">
        <v>4715.28</v>
      </c>
    </row>
    <row r="248" spans="1:4" s="6" customFormat="1" ht="15.75" customHeight="1">
      <c r="A248" s="272" t="s">
        <v>58</v>
      </c>
      <c r="B248" s="208"/>
      <c r="C248" s="78">
        <f>C246+C247</f>
        <v>199781.28</v>
      </c>
      <c r="D248" s="78">
        <f>D246+D247</f>
        <v>199781.28</v>
      </c>
    </row>
    <row r="249" spans="1:4" s="6" customFormat="1" ht="15.75" customHeight="1">
      <c r="A249" s="255" t="s">
        <v>427</v>
      </c>
      <c r="B249" s="208" t="s">
        <v>241</v>
      </c>
      <c r="C249" s="78">
        <v>194562.12</v>
      </c>
      <c r="D249" s="78">
        <v>194562.12</v>
      </c>
    </row>
    <row r="250" spans="1:4" s="6" customFormat="1" ht="15.75" customHeight="1">
      <c r="A250" s="255" t="s">
        <v>427</v>
      </c>
      <c r="B250" s="208" t="s">
        <v>60</v>
      </c>
      <c r="C250" s="78">
        <v>4840.26</v>
      </c>
      <c r="D250" s="78">
        <v>4840.26</v>
      </c>
    </row>
    <row r="251" spans="1:4" s="6" customFormat="1" ht="15.75" customHeight="1">
      <c r="A251" s="272" t="s">
        <v>58</v>
      </c>
      <c r="B251" s="208"/>
      <c r="C251" s="78">
        <f>C249+C250</f>
        <v>199402.38</v>
      </c>
      <c r="D251" s="78">
        <f>D249+D250</f>
        <v>199402.38</v>
      </c>
    </row>
    <row r="252" spans="1:4" s="6" customFormat="1" ht="15.75" customHeight="1">
      <c r="A252" s="255" t="s">
        <v>428</v>
      </c>
      <c r="B252" s="208" t="s">
        <v>150</v>
      </c>
      <c r="C252" s="78">
        <v>177656.4</v>
      </c>
      <c r="D252" s="78">
        <v>177656.4</v>
      </c>
    </row>
    <row r="253" spans="1:4" s="6" customFormat="1" ht="15.75" customHeight="1">
      <c r="A253" s="255" t="s">
        <v>428</v>
      </c>
      <c r="B253" s="208" t="s">
        <v>60</v>
      </c>
      <c r="C253" s="78">
        <v>4286.82</v>
      </c>
      <c r="D253" s="78">
        <v>4286.82</v>
      </c>
    </row>
    <row r="254" spans="1:4" s="6" customFormat="1" ht="15.75" customHeight="1">
      <c r="A254" s="272" t="s">
        <v>58</v>
      </c>
      <c r="B254" s="208"/>
      <c r="C254" s="78">
        <f>C252+C253</f>
        <v>181943.22</v>
      </c>
      <c r="D254" s="78">
        <f>D252+D253</f>
        <v>181943.22</v>
      </c>
    </row>
    <row r="255" spans="1:4" s="6" customFormat="1" ht="15.75" customHeight="1">
      <c r="A255" s="255" t="s">
        <v>429</v>
      </c>
      <c r="B255" s="208" t="s">
        <v>150</v>
      </c>
      <c r="C255" s="78">
        <v>192298.8</v>
      </c>
      <c r="D255" s="78">
        <v>192298.8</v>
      </c>
    </row>
    <row r="256" spans="1:4" s="6" customFormat="1" ht="15.75" customHeight="1">
      <c r="A256" s="255" t="s">
        <v>429</v>
      </c>
      <c r="B256" s="208" t="s">
        <v>60</v>
      </c>
      <c r="C256" s="78">
        <v>4637.64</v>
      </c>
      <c r="D256" s="78">
        <v>4637.64</v>
      </c>
    </row>
    <row r="257" spans="1:4" s="6" customFormat="1" ht="15.75" customHeight="1">
      <c r="A257" s="272" t="s">
        <v>58</v>
      </c>
      <c r="B257" s="208"/>
      <c r="C257" s="78">
        <f>C255+C256</f>
        <v>196936.44</v>
      </c>
      <c r="D257" s="78">
        <f>D255+D256</f>
        <v>196936.44</v>
      </c>
    </row>
    <row r="258" spans="1:4" s="6" customFormat="1" ht="15.75" customHeight="1">
      <c r="A258" s="255" t="s">
        <v>430</v>
      </c>
      <c r="B258" s="208" t="s">
        <v>150</v>
      </c>
      <c r="C258" s="78">
        <v>194592</v>
      </c>
      <c r="D258" s="78">
        <v>194592</v>
      </c>
    </row>
    <row r="259" spans="1:4" s="6" customFormat="1" ht="15.75" customHeight="1">
      <c r="A259" s="255" t="s">
        <v>430</v>
      </c>
      <c r="B259" s="208" t="s">
        <v>60</v>
      </c>
      <c r="C259" s="78">
        <v>4667.1</v>
      </c>
      <c r="D259" s="78">
        <v>4667.1</v>
      </c>
    </row>
    <row r="260" spans="1:4" s="6" customFormat="1" ht="15.75" customHeight="1">
      <c r="A260" s="272" t="s">
        <v>58</v>
      </c>
      <c r="B260" s="208"/>
      <c r="C260" s="78">
        <f>C258+C259</f>
        <v>199259.1</v>
      </c>
      <c r="D260" s="78">
        <f>D258+D259</f>
        <v>199259.1</v>
      </c>
    </row>
    <row r="261" spans="1:4" s="6" customFormat="1" ht="15.75" customHeight="1">
      <c r="A261" s="255" t="s">
        <v>431</v>
      </c>
      <c r="B261" s="208" t="s">
        <v>399</v>
      </c>
      <c r="C261" s="78">
        <f>51571.6+119864.8</f>
        <v>171436.4</v>
      </c>
      <c r="D261" s="78">
        <f>51571.6+119864.8</f>
        <v>171436.4</v>
      </c>
    </row>
    <row r="262" spans="1:4" s="6" customFormat="1" ht="15.75" customHeight="1">
      <c r="A262" s="255" t="s">
        <v>431</v>
      </c>
      <c r="B262" s="208" t="s">
        <v>60</v>
      </c>
      <c r="C262" s="78">
        <f>1306.38+3028.59</f>
        <v>4334.97</v>
      </c>
      <c r="D262" s="78">
        <f>1306.38+3028.59</f>
        <v>4334.97</v>
      </c>
    </row>
    <row r="263" spans="1:4" s="6" customFormat="1" ht="15.75" customHeight="1">
      <c r="A263" s="272" t="s">
        <v>58</v>
      </c>
      <c r="B263" s="208"/>
      <c r="C263" s="78">
        <f>C261+C262</f>
        <v>175771.37</v>
      </c>
      <c r="D263" s="78">
        <f>D261+D262</f>
        <v>175771.37</v>
      </c>
    </row>
    <row r="264" spans="1:4" s="6" customFormat="1" ht="15.75" customHeight="1">
      <c r="A264" s="255" t="s">
        <v>432</v>
      </c>
      <c r="B264" s="208" t="s">
        <v>150</v>
      </c>
      <c r="C264" s="78">
        <v>175519.2</v>
      </c>
      <c r="D264" s="78">
        <v>175519.2</v>
      </c>
    </row>
    <row r="265" spans="1:4" s="6" customFormat="1" ht="15.75" customHeight="1">
      <c r="A265" s="255" t="s">
        <v>432</v>
      </c>
      <c r="B265" s="208" t="s">
        <v>60</v>
      </c>
      <c r="C265" s="78">
        <v>4227.78</v>
      </c>
      <c r="D265" s="78">
        <v>4227.78</v>
      </c>
    </row>
    <row r="266" spans="1:4" s="6" customFormat="1" ht="15.75" customHeight="1">
      <c r="A266" s="272" t="s">
        <v>58</v>
      </c>
      <c r="B266" s="208"/>
      <c r="C266" s="78">
        <f>C264+C265</f>
        <v>179746.98</v>
      </c>
      <c r="D266" s="78">
        <f>D264+D265</f>
        <v>179746.98</v>
      </c>
    </row>
    <row r="267" spans="1:4" s="6" customFormat="1" ht="15.75" customHeight="1">
      <c r="A267" s="255" t="s">
        <v>433</v>
      </c>
      <c r="B267" s="208" t="s">
        <v>150</v>
      </c>
      <c r="C267" s="78">
        <v>121374</v>
      </c>
      <c r="D267" s="78">
        <v>121374</v>
      </c>
    </row>
    <row r="268" spans="1:4" s="6" customFormat="1" ht="15.75" customHeight="1">
      <c r="A268" s="255" t="s">
        <v>433</v>
      </c>
      <c r="B268" s="208" t="s">
        <v>60</v>
      </c>
      <c r="C268" s="78">
        <v>2925.93</v>
      </c>
      <c r="D268" s="78">
        <v>2925.93</v>
      </c>
    </row>
    <row r="269" spans="1:4" s="6" customFormat="1" ht="15.75" customHeight="1">
      <c r="A269" s="272" t="s">
        <v>58</v>
      </c>
      <c r="B269" s="208"/>
      <c r="C269" s="78">
        <f>C267+C268</f>
        <v>124299.93</v>
      </c>
      <c r="D269" s="78">
        <f>D267+D268</f>
        <v>124299.93</v>
      </c>
    </row>
    <row r="270" spans="1:4" s="4" customFormat="1" ht="27.75" customHeight="1">
      <c r="A270" s="272" t="s">
        <v>30</v>
      </c>
      <c r="B270" s="208" t="s">
        <v>220</v>
      </c>
      <c r="C270" s="256">
        <f>191000+198000+189982.27</f>
        <v>578982.27</v>
      </c>
      <c r="D270" s="278">
        <f>191000+198000+189982.27</f>
        <v>578982.27</v>
      </c>
    </row>
    <row r="271" spans="1:4" s="4" customFormat="1" ht="23.25" customHeight="1">
      <c r="A271" s="255" t="s">
        <v>31</v>
      </c>
      <c r="B271" s="208" t="s">
        <v>150</v>
      </c>
      <c r="C271" s="256">
        <v>72728.4</v>
      </c>
      <c r="D271" s="278">
        <v>72728.4</v>
      </c>
    </row>
    <row r="272" spans="1:4" s="4" customFormat="1" ht="17.25" customHeight="1">
      <c r="A272" s="255" t="s">
        <v>31</v>
      </c>
      <c r="B272" s="208" t="s">
        <v>60</v>
      </c>
      <c r="C272" s="256">
        <v>1761.75</v>
      </c>
      <c r="D272" s="278">
        <v>1761.75</v>
      </c>
    </row>
    <row r="273" spans="1:4" s="4" customFormat="1" ht="17.25" customHeight="1">
      <c r="A273" s="272" t="s">
        <v>58</v>
      </c>
      <c r="B273" s="208"/>
      <c r="C273" s="256">
        <f>C271+C272</f>
        <v>74490.15</v>
      </c>
      <c r="D273" s="256">
        <f>D271+D272</f>
        <v>74490.15</v>
      </c>
    </row>
    <row r="274" spans="1:4" s="4" customFormat="1" ht="19.5" customHeight="1">
      <c r="A274" s="282" t="s">
        <v>5</v>
      </c>
      <c r="B274" s="283"/>
      <c r="C274" s="284">
        <f>C6+C9+C12+C13+C270+C273</f>
        <v>17722567.3</v>
      </c>
      <c r="D274" s="284">
        <f>D6+D9+D12+D13+D270+D273</f>
        <v>17722567.3</v>
      </c>
    </row>
    <row r="275" spans="1:4" s="4" customFormat="1" ht="15.75">
      <c r="A275" s="100" t="s">
        <v>451</v>
      </c>
      <c r="B275" s="43"/>
      <c r="C275" s="161"/>
      <c r="D275" s="29"/>
    </row>
    <row r="276" spans="1:4" s="4" customFormat="1" ht="15.75">
      <c r="A276" s="100" t="s">
        <v>452</v>
      </c>
      <c r="B276" s="43"/>
      <c r="C276" s="41"/>
      <c r="D276" s="29"/>
    </row>
    <row r="277" spans="1:4" s="4" customFormat="1" ht="18.75" customHeight="1">
      <c r="A277" s="100" t="s">
        <v>53</v>
      </c>
      <c r="B277" s="44"/>
      <c r="C277" s="160"/>
      <c r="D277" s="29"/>
    </row>
    <row r="278" spans="1:4" s="4" customFormat="1" ht="15.75">
      <c r="A278" s="100"/>
      <c r="B278" s="43"/>
      <c r="C278" s="41"/>
      <c r="D278" s="29"/>
    </row>
    <row r="279" spans="1:4" s="4" customFormat="1" ht="12.75">
      <c r="A279" s="100"/>
      <c r="B279" s="37"/>
      <c r="C279" s="29"/>
      <c r="D279" s="29"/>
    </row>
    <row r="280" spans="1:4" ht="12.75">
      <c r="A280" s="19"/>
      <c r="B280" s="37"/>
      <c r="C280" s="29"/>
      <c r="D280" s="29"/>
    </row>
  </sheetData>
  <sheetProtection selectLockedCells="1" selectUnlockedCells="1"/>
  <mergeCells count="3">
    <mergeCell ref="A194:A195"/>
    <mergeCell ref="A3:D3"/>
    <mergeCell ref="A51:A52"/>
  </mergeCells>
  <printOptions/>
  <pageMargins left="0.7875" right="0.7875" top="0.39375" bottom="0.39375" header="0.5118055555555555" footer="0.5118055555555555"/>
  <pageSetup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ZuLu</cp:lastModifiedBy>
  <cp:lastPrinted>2020-01-11T08:43:31Z</cp:lastPrinted>
  <dcterms:created xsi:type="dcterms:W3CDTF">2018-08-10T06:35:45Z</dcterms:created>
  <dcterms:modified xsi:type="dcterms:W3CDTF">2020-02-28T09:25:14Z</dcterms:modified>
  <cp:category/>
  <cp:version/>
  <cp:contentType/>
  <cp:contentStatus/>
</cp:coreProperties>
</file>